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nzuzic\Documents\Registar okvirnih sporazuma i ugovora\Registar ugovora za 2017. godinu\"/>
    </mc:Choice>
  </mc:AlternateContent>
  <bookViews>
    <workbookView xWindow="0" yWindow="0" windowWidth="25200" windowHeight="11985" tabRatio="873"/>
  </bookViews>
  <sheets>
    <sheet name="Uredski materijal" sheetId="19" r:id="rId1"/>
    <sheet name="Potrošni materijal" sheetId="13" r:id="rId2"/>
    <sheet name="Motorna vozila" sheetId="23" r:id="rId3"/>
    <sheet name="Gume za vozila" sheetId="16" r:id="rId4"/>
    <sheet name="Gorivo" sheetId="1" r:id="rId5"/>
    <sheet name="Opskrba elek. energijom" sheetId="20" r:id="rId6"/>
    <sheet name="Opskrba prirodnim plinom" sheetId="25" r:id="rId7"/>
    <sheet name="Računala i računalna oprema" sheetId="18" r:id="rId8"/>
    <sheet name="Licence" sheetId="15" r:id="rId9"/>
    <sheet name="Usluge u pokretnoj mreži i opr." sheetId="17" r:id="rId10"/>
    <sheet name="Usluge ispisa" sheetId="24" r:id="rId11"/>
    <sheet name="Poštanske usluge" sheetId="21" r:id="rId12"/>
    <sheet name="Usluge osiguranja" sheetId="22" r:id="rId13"/>
    <sheet name="Zaštitarske usluge" sheetId="26" r:id="rId14"/>
    <sheet name="Usluge čišćenja prostorija" sheetId="14" r:id="rId15"/>
  </sheets>
  <definedNames>
    <definedName name="_xlnm._FilterDatabase" localSheetId="4" hidden="1">Gorivo!#REF!</definedName>
    <definedName name="_xlnm._FilterDatabase" localSheetId="3" hidden="1">'Gume za vozila'!$A$345:$K$352</definedName>
    <definedName name="_xlnm._FilterDatabase" localSheetId="8" hidden="1">Licence!$A$41:$K$91</definedName>
    <definedName name="_xlnm._FilterDatabase" localSheetId="2" hidden="1">'Motorna vozila'!$A$64:$K$75</definedName>
    <definedName name="_xlnm._FilterDatabase" localSheetId="5" hidden="1">'Opskrba elek. energijom'!$A$7:$K$378</definedName>
    <definedName name="_xlnm._FilterDatabase" localSheetId="6" hidden="1">'Opskrba prirodnim plinom'!$A$7:$K$133</definedName>
    <definedName name="_xlnm._FilterDatabase" localSheetId="11" hidden="1">'Poštanske usluge'!#REF!</definedName>
    <definedName name="_xlnm._FilterDatabase" localSheetId="1" hidden="1">'Potrošni materijal'!#REF!</definedName>
    <definedName name="_xlnm._FilterDatabase" localSheetId="7" hidden="1">'Računala i računalna oprema'!$A$39:$K$47</definedName>
    <definedName name="_xlnm._FilterDatabase" localSheetId="0" hidden="1">'Uredski materijal'!#REF!</definedName>
    <definedName name="_xlnm._FilterDatabase" localSheetId="14" hidden="1">'Usluge čišćenja prostorija'!#REF!</definedName>
    <definedName name="_xlnm._FilterDatabase" localSheetId="12" hidden="1">'Usluge osiguranja'!$A$15:$K$667</definedName>
    <definedName name="_xlnm._FilterDatabase" localSheetId="9" hidden="1">'Usluge u pokretnoj mreži i opr.'!$A$56:$K$228</definedName>
    <definedName name="_xlnm._FilterDatabase" localSheetId="13" hidden="1">'Zaštitarske usluge'!#REF!</definedName>
    <definedName name="_xlnm.Print_Titles" localSheetId="4">Gorivo!$7:$7</definedName>
    <definedName name="_xlnm.Print_Titles" localSheetId="3">'Gume za vozila'!$7:$7</definedName>
    <definedName name="_xlnm.Print_Titles" localSheetId="8">Licence!#REF!</definedName>
    <definedName name="_xlnm.Print_Titles" localSheetId="2">'Motorna vozila'!#REF!</definedName>
    <definedName name="_xlnm.Print_Titles" localSheetId="5">'Opskrba elek. energijom'!#REF!</definedName>
    <definedName name="_xlnm.Print_Titles" localSheetId="6">'Opskrba prirodnim plinom'!#REF!</definedName>
    <definedName name="_xlnm.Print_Titles" localSheetId="11">'Poštanske usluge'!$7:$7</definedName>
    <definedName name="_xlnm.Print_Titles" localSheetId="1">'Potrošni materijal'!#REF!</definedName>
    <definedName name="_xlnm.Print_Titles" localSheetId="7">'Računala i računalna oprema'!$7:$7</definedName>
    <definedName name="_xlnm.Print_Titles" localSheetId="0">'Uredski materijal'!$7:$7</definedName>
    <definedName name="_xlnm.Print_Titles" localSheetId="14">'Usluge čišćenja prostorija'!#REF!</definedName>
    <definedName name="_xlnm.Print_Titles" localSheetId="10">'Usluge ispisa'!$7:$7</definedName>
    <definedName name="_xlnm.Print_Titles" localSheetId="12">'Usluge osiguranja'!#REF!</definedName>
    <definedName name="_xlnm.Print_Titles" localSheetId="9">'Usluge u pokretnoj mreži i opr.'!$7:$7</definedName>
    <definedName name="_xlnm.Print_Titles" localSheetId="13">'Zaštitarske usluge'!#REF!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4" i="21" l="1"/>
  <c r="C533" i="21"/>
  <c r="C532" i="21"/>
  <c r="C531" i="21"/>
  <c r="C530" i="21"/>
  <c r="C529" i="21"/>
  <c r="C528" i="21"/>
  <c r="C527" i="21"/>
  <c r="C526" i="21"/>
  <c r="C525" i="21"/>
  <c r="C524" i="21"/>
  <c r="C523" i="21"/>
  <c r="C522" i="21"/>
  <c r="C521" i="21"/>
  <c r="C520" i="21"/>
  <c r="C519" i="21"/>
  <c r="C518" i="21"/>
  <c r="C517" i="21"/>
  <c r="C516" i="21"/>
  <c r="C515" i="21"/>
  <c r="C514" i="21"/>
  <c r="C513" i="21"/>
  <c r="C512" i="21"/>
  <c r="C511" i="21"/>
  <c r="C510" i="21"/>
  <c r="C509" i="21"/>
  <c r="C508" i="21"/>
  <c r="C507" i="21"/>
  <c r="C506" i="21"/>
  <c r="C505" i="21"/>
  <c r="C504" i="21"/>
  <c r="C503" i="21"/>
  <c r="C502" i="21"/>
  <c r="C501" i="21"/>
  <c r="C500" i="21"/>
  <c r="C499" i="21"/>
  <c r="C498" i="21"/>
  <c r="C497" i="21"/>
  <c r="C496" i="21"/>
  <c r="C495" i="21"/>
  <c r="C494" i="21"/>
  <c r="C493" i="21"/>
  <c r="C492" i="21"/>
  <c r="C491" i="21"/>
  <c r="C490" i="21"/>
  <c r="C489" i="21"/>
  <c r="C488" i="21"/>
  <c r="C487" i="21"/>
  <c r="C486" i="21"/>
  <c r="C485" i="21"/>
  <c r="C484" i="21"/>
  <c r="C483" i="21"/>
  <c r="C482" i="21"/>
  <c r="C481" i="21"/>
  <c r="C480" i="21"/>
  <c r="C479" i="21"/>
  <c r="C478" i="21"/>
  <c r="C477" i="21"/>
  <c r="C476" i="21"/>
  <c r="C475" i="21"/>
  <c r="C474" i="21"/>
  <c r="C473" i="21"/>
  <c r="C472" i="21"/>
  <c r="C471" i="21"/>
  <c r="C470" i="21"/>
  <c r="C469" i="21"/>
  <c r="C468" i="21"/>
  <c r="C467" i="21"/>
  <c r="C466" i="21"/>
  <c r="C465" i="21"/>
  <c r="C464" i="21"/>
  <c r="C463" i="21"/>
  <c r="C462" i="21"/>
  <c r="C461" i="21"/>
  <c r="C460" i="21"/>
  <c r="C459" i="21"/>
  <c r="C458" i="21"/>
  <c r="C457" i="21"/>
  <c r="C456" i="21"/>
  <c r="C455" i="21"/>
  <c r="C454" i="21"/>
  <c r="C453" i="21"/>
  <c r="C452" i="21"/>
  <c r="C451" i="21"/>
  <c r="C450" i="21"/>
  <c r="C449" i="21"/>
  <c r="C448" i="21"/>
  <c r="C447" i="21"/>
  <c r="C446" i="21"/>
  <c r="C445" i="21"/>
  <c r="C444" i="21"/>
  <c r="C443" i="21"/>
  <c r="C442" i="21"/>
  <c r="C441" i="21"/>
  <c r="C440" i="21"/>
  <c r="C439" i="21"/>
  <c r="C438" i="21"/>
  <c r="C437" i="21"/>
  <c r="C436" i="21"/>
  <c r="C435" i="21"/>
  <c r="C434" i="21"/>
  <c r="C433" i="21"/>
  <c r="C432" i="21"/>
  <c r="C431" i="21"/>
  <c r="C430" i="21"/>
  <c r="C429" i="21"/>
  <c r="C428" i="21"/>
  <c r="C427" i="21"/>
  <c r="C426" i="21"/>
  <c r="C425" i="21"/>
  <c r="C424" i="21"/>
  <c r="C423" i="21"/>
  <c r="C422" i="21"/>
  <c r="C421" i="21"/>
  <c r="C420" i="21"/>
  <c r="C419" i="21"/>
  <c r="C418" i="21"/>
  <c r="C417" i="21"/>
  <c r="C416" i="21"/>
  <c r="C415" i="21"/>
  <c r="C414" i="21"/>
  <c r="C413" i="21"/>
  <c r="C412" i="21"/>
  <c r="C411" i="21"/>
  <c r="C410" i="21"/>
  <c r="C409" i="21"/>
  <c r="C408" i="21"/>
  <c r="C407" i="21"/>
  <c r="C406" i="21"/>
  <c r="C405" i="21"/>
  <c r="C404" i="21"/>
  <c r="C403" i="21"/>
  <c r="C402" i="21"/>
  <c r="C401" i="21"/>
  <c r="C400" i="21"/>
  <c r="C399" i="21"/>
  <c r="C398" i="21"/>
  <c r="C397" i="21"/>
  <c r="C396" i="21"/>
  <c r="C395" i="21"/>
  <c r="C394" i="21"/>
  <c r="C393" i="21"/>
  <c r="C392" i="21"/>
  <c r="C391" i="21"/>
  <c r="C390" i="21"/>
  <c r="C389" i="21"/>
  <c r="C388" i="21"/>
  <c r="C387" i="21"/>
  <c r="C386" i="21"/>
  <c r="C385" i="21"/>
  <c r="C384" i="21"/>
  <c r="C383" i="21"/>
  <c r="C382" i="21"/>
  <c r="C381" i="21"/>
  <c r="C380" i="21"/>
  <c r="C379" i="21"/>
  <c r="C378" i="21"/>
  <c r="C377" i="21"/>
  <c r="C376" i="21"/>
  <c r="C375" i="21"/>
  <c r="C374" i="21"/>
  <c r="C373" i="21"/>
  <c r="C372" i="21"/>
  <c r="C371" i="21"/>
  <c r="C370" i="21"/>
  <c r="C369" i="21"/>
  <c r="C368" i="21"/>
  <c r="C367" i="21"/>
  <c r="C366" i="21"/>
  <c r="C365" i="21"/>
  <c r="C364" i="21"/>
  <c r="C363" i="21"/>
  <c r="C362" i="21"/>
  <c r="C361" i="21"/>
  <c r="C360" i="21"/>
  <c r="C359" i="21"/>
  <c r="C358" i="21"/>
  <c r="C357" i="21"/>
  <c r="C356" i="21"/>
  <c r="C355" i="21"/>
  <c r="C354" i="21"/>
  <c r="C353" i="21"/>
  <c r="C352" i="21"/>
  <c r="C351" i="21"/>
  <c r="C350" i="21"/>
  <c r="C349" i="21"/>
  <c r="C348" i="21"/>
  <c r="C347" i="21"/>
  <c r="C346" i="21"/>
  <c r="C345" i="21"/>
  <c r="C344" i="21"/>
  <c r="C343" i="21"/>
  <c r="C342" i="21"/>
  <c r="C341" i="21"/>
  <c r="C340" i="21"/>
  <c r="C339" i="21"/>
  <c r="C338" i="21"/>
  <c r="C337" i="21"/>
  <c r="C336" i="21"/>
  <c r="C335" i="21"/>
  <c r="C334" i="21"/>
  <c r="C333" i="21"/>
  <c r="C332" i="21"/>
  <c r="C331" i="21"/>
  <c r="C330" i="21"/>
  <c r="C329" i="21"/>
  <c r="C328" i="21"/>
  <c r="C327" i="21"/>
  <c r="C326" i="21"/>
  <c r="C325" i="21"/>
  <c r="C324" i="21"/>
  <c r="C323" i="21"/>
  <c r="C322" i="21"/>
  <c r="C321" i="21"/>
  <c r="C320" i="21"/>
  <c r="C319" i="21"/>
  <c r="C318" i="21"/>
  <c r="C317" i="21"/>
  <c r="C316" i="21"/>
  <c r="C315" i="21"/>
  <c r="C314" i="21"/>
  <c r="C313" i="21"/>
  <c r="C312" i="21"/>
  <c r="C311" i="21"/>
  <c r="C310" i="21"/>
  <c r="C309" i="21"/>
  <c r="C308" i="21"/>
  <c r="C307" i="21"/>
  <c r="C306" i="21"/>
  <c r="C305" i="21"/>
  <c r="C304" i="21"/>
  <c r="C303" i="21"/>
  <c r="C302" i="21"/>
  <c r="C301" i="21"/>
  <c r="C300" i="21"/>
  <c r="C299" i="21"/>
  <c r="C298" i="21"/>
  <c r="C297" i="21"/>
  <c r="C296" i="21"/>
  <c r="C295" i="21"/>
  <c r="C294" i="21"/>
  <c r="C293" i="21"/>
  <c r="C292" i="21"/>
  <c r="C291" i="21"/>
  <c r="C290" i="21"/>
  <c r="C289" i="21"/>
  <c r="C288" i="21"/>
  <c r="C287" i="21"/>
  <c r="C286" i="21"/>
  <c r="C285" i="21"/>
  <c r="C284" i="21"/>
  <c r="C283" i="21"/>
  <c r="C282" i="21"/>
  <c r="C281" i="21"/>
  <c r="C280" i="21"/>
  <c r="C279" i="21"/>
  <c r="C278" i="21"/>
  <c r="C277" i="21"/>
  <c r="C276" i="21"/>
  <c r="C275" i="21"/>
  <c r="C274" i="21"/>
  <c r="C273" i="21"/>
  <c r="C272" i="21"/>
  <c r="C271" i="21"/>
  <c r="C270" i="21"/>
  <c r="C269" i="21"/>
  <c r="C268" i="21"/>
  <c r="C267" i="21"/>
  <c r="C266" i="21"/>
  <c r="C265" i="21"/>
  <c r="C264" i="21"/>
  <c r="C263" i="21"/>
  <c r="C262" i="21"/>
  <c r="C261" i="21"/>
  <c r="C260" i="21"/>
  <c r="C259" i="21"/>
  <c r="C258" i="21"/>
  <c r="C257" i="21"/>
  <c r="C256" i="21"/>
  <c r="C255" i="21"/>
  <c r="C254" i="21"/>
  <c r="C253" i="21"/>
  <c r="C252" i="21"/>
  <c r="C251" i="21"/>
  <c r="C250" i="21"/>
  <c r="C249" i="21"/>
  <c r="C248" i="21"/>
  <c r="C247" i="21"/>
  <c r="C246" i="21"/>
  <c r="C245" i="21"/>
  <c r="C244" i="21"/>
  <c r="C243" i="21"/>
  <c r="C242" i="21"/>
  <c r="C241" i="21"/>
  <c r="C240" i="21"/>
  <c r="C239" i="21"/>
  <c r="C238" i="21"/>
  <c r="C237" i="21"/>
  <c r="C236" i="21"/>
  <c r="C235" i="21"/>
  <c r="C234" i="21"/>
  <c r="C233" i="21"/>
  <c r="C232" i="21"/>
  <c r="C231" i="21"/>
  <c r="C230" i="21"/>
  <c r="C229" i="21"/>
  <c r="C228" i="21"/>
  <c r="C227" i="21"/>
  <c r="C226" i="21"/>
  <c r="C225" i="21"/>
  <c r="C224" i="21"/>
  <c r="C223" i="21"/>
  <c r="C222" i="21"/>
  <c r="C221" i="21"/>
  <c r="C220" i="21"/>
  <c r="C219" i="21"/>
  <c r="C218" i="21"/>
  <c r="C217" i="21"/>
  <c r="C216" i="21"/>
  <c r="C215" i="21"/>
  <c r="C214" i="21"/>
  <c r="C213" i="21"/>
  <c r="C212" i="21"/>
  <c r="C211" i="21"/>
  <c r="C210" i="21"/>
  <c r="C209" i="21"/>
  <c r="C208" i="21"/>
  <c r="C207" i="21"/>
  <c r="C206" i="21"/>
  <c r="C205" i="21"/>
  <c r="C204" i="21"/>
  <c r="C203" i="21"/>
  <c r="C202" i="21"/>
  <c r="C201" i="21"/>
  <c r="C200" i="21"/>
  <c r="C199" i="21"/>
  <c r="C198" i="21"/>
  <c r="C197" i="21"/>
  <c r="C196" i="21"/>
  <c r="C195" i="21"/>
  <c r="C194" i="21"/>
  <c r="C193" i="21"/>
  <c r="C192" i="21"/>
  <c r="C191" i="21"/>
  <c r="C190" i="21"/>
  <c r="C189" i="21"/>
  <c r="C188" i="21"/>
  <c r="C187" i="21"/>
  <c r="C186" i="21"/>
  <c r="C185" i="21"/>
  <c r="C184" i="21"/>
  <c r="C183" i="21"/>
  <c r="C182" i="21"/>
  <c r="C181" i="21"/>
  <c r="C180" i="21"/>
  <c r="C179" i="21"/>
  <c r="C178" i="21"/>
  <c r="C177" i="21"/>
  <c r="C176" i="21"/>
  <c r="C175" i="21"/>
  <c r="C174" i="21"/>
  <c r="C173" i="21"/>
  <c r="C172" i="21"/>
  <c r="C171" i="21"/>
  <c r="C170" i="21"/>
  <c r="C169" i="21"/>
  <c r="C168" i="21"/>
  <c r="C167" i="21"/>
  <c r="C166" i="21"/>
  <c r="C165" i="21"/>
  <c r="C164" i="21"/>
  <c r="C163" i="21"/>
  <c r="C162" i="21"/>
  <c r="C161" i="21"/>
  <c r="C160" i="21"/>
  <c r="C159" i="21"/>
  <c r="C158" i="21"/>
  <c r="C157" i="21"/>
  <c r="C156" i="21"/>
  <c r="C155" i="21"/>
  <c r="C154" i="21"/>
  <c r="C153" i="21"/>
  <c r="C152" i="21"/>
  <c r="C151" i="21"/>
  <c r="C150" i="21"/>
  <c r="C149" i="21"/>
  <c r="C148" i="21"/>
  <c r="C147" i="21"/>
  <c r="C146" i="21"/>
  <c r="C145" i="21"/>
  <c r="C144" i="21"/>
  <c r="C143" i="21"/>
  <c r="C142" i="21"/>
  <c r="C141" i="21"/>
  <c r="C140" i="21"/>
  <c r="C139" i="21"/>
  <c r="C138" i="21"/>
  <c r="C137" i="21"/>
  <c r="C136" i="21"/>
  <c r="C135" i="21"/>
  <c r="C134" i="21"/>
  <c r="C133" i="21"/>
  <c r="C132" i="21"/>
  <c r="C131" i="21"/>
  <c r="C130" i="21"/>
  <c r="C129" i="21"/>
  <c r="C128" i="21"/>
  <c r="C127" i="21"/>
  <c r="C126" i="21"/>
  <c r="C125" i="21"/>
  <c r="C124" i="21"/>
  <c r="C123" i="21"/>
  <c r="C122" i="21"/>
  <c r="C121" i="21"/>
  <c r="C120" i="21"/>
  <c r="C119" i="21"/>
  <c r="C118" i="21"/>
  <c r="C117" i="21"/>
  <c r="C116" i="21"/>
  <c r="C115" i="21"/>
  <c r="C114" i="21"/>
  <c r="C113" i="21"/>
  <c r="C112" i="21"/>
  <c r="C111" i="21"/>
  <c r="C110" i="21"/>
  <c r="C109" i="21"/>
  <c r="C108" i="21"/>
  <c r="C107" i="21"/>
  <c r="C106" i="21"/>
  <c r="C105" i="21"/>
  <c r="C104" i="21"/>
  <c r="C103" i="21"/>
  <c r="C102" i="21"/>
  <c r="C101" i="21"/>
  <c r="C100" i="21"/>
  <c r="C99" i="21"/>
  <c r="C98" i="21"/>
  <c r="C97" i="21"/>
  <c r="C96" i="21"/>
  <c r="C95" i="21"/>
  <c r="C94" i="21"/>
  <c r="C93" i="21"/>
  <c r="C92" i="21"/>
  <c r="C91" i="21"/>
  <c r="C90" i="21"/>
  <c r="C89" i="21"/>
  <c r="C88" i="21"/>
  <c r="C87" i="21"/>
  <c r="C86" i="21"/>
  <c r="C85" i="21"/>
  <c r="C84" i="21"/>
  <c r="C83" i="21"/>
  <c r="C82" i="21"/>
  <c r="C81" i="21"/>
  <c r="C80" i="21"/>
  <c r="C79" i="21"/>
  <c r="C78" i="21"/>
  <c r="C77" i="21"/>
  <c r="C76" i="21"/>
  <c r="C75" i="21"/>
  <c r="C74" i="21"/>
  <c r="C73" i="21"/>
  <c r="C72" i="21"/>
  <c r="C71" i="21"/>
  <c r="C70" i="21"/>
  <c r="C69" i="21"/>
  <c r="C68" i="21"/>
  <c r="C67" i="21"/>
  <c r="C66" i="21"/>
  <c r="C65" i="21"/>
  <c r="C64" i="21"/>
  <c r="C63" i="21"/>
  <c r="C62" i="21"/>
  <c r="C61" i="21"/>
  <c r="C60" i="21"/>
  <c r="C59" i="21"/>
  <c r="C58" i="21"/>
  <c r="C57" i="21"/>
  <c r="C56" i="21"/>
  <c r="C55" i="21"/>
  <c r="C54" i="21"/>
  <c r="C53" i="21"/>
  <c r="C52" i="21"/>
  <c r="C51" i="21"/>
  <c r="C50" i="21"/>
  <c r="C49" i="21"/>
  <c r="C48" i="21"/>
  <c r="C47" i="21"/>
  <c r="C46" i="21"/>
  <c r="C45" i="21"/>
  <c r="C44" i="21"/>
  <c r="C43" i="21"/>
  <c r="C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C8" i="21"/>
  <c r="L3" i="21" l="1"/>
  <c r="L3" i="20" l="1"/>
  <c r="M3" i="20" s="1"/>
  <c r="L147" i="1" l="1"/>
  <c r="M147" i="1" s="1"/>
  <c r="L127" i="1"/>
  <c r="M127" i="1" s="1"/>
  <c r="L97" i="1"/>
  <c r="M97" i="1" s="1"/>
  <c r="L3" i="1"/>
  <c r="M3" i="1" s="1"/>
  <c r="M3" i="23"/>
  <c r="L3" i="23"/>
  <c r="M14" i="23"/>
  <c r="L14" i="23"/>
  <c r="M51" i="23"/>
  <c r="L51" i="23"/>
  <c r="M61" i="23"/>
  <c r="L61" i="23"/>
  <c r="M81" i="23"/>
  <c r="L81" i="23"/>
  <c r="M91" i="23"/>
  <c r="L91" i="23"/>
  <c r="M96" i="23"/>
  <c r="L96" i="23"/>
  <c r="M101" i="23"/>
  <c r="L101" i="23"/>
  <c r="M106" i="23"/>
  <c r="L106" i="23"/>
  <c r="M162" i="23"/>
  <c r="L162" i="23"/>
  <c r="M171" i="23"/>
  <c r="L171" i="23"/>
  <c r="M196" i="23"/>
  <c r="L196" i="23"/>
  <c r="M191" i="23"/>
  <c r="L191" i="23"/>
  <c r="M3" i="16"/>
  <c r="L3" i="16"/>
  <c r="M170" i="16"/>
  <c r="L170" i="16"/>
  <c r="M198" i="16"/>
  <c r="L198" i="16"/>
  <c r="M221" i="16"/>
  <c r="L221" i="16"/>
  <c r="M240" i="16"/>
  <c r="L240" i="16"/>
  <c r="M262" i="16"/>
  <c r="L262" i="16"/>
  <c r="M289" i="16"/>
  <c r="L289" i="16"/>
  <c r="M315" i="16"/>
  <c r="L315" i="16"/>
  <c r="M342" i="16"/>
  <c r="L342" i="16"/>
  <c r="M32" i="24" l="1"/>
  <c r="L32" i="24"/>
  <c r="M23" i="24"/>
  <c r="L23" i="24"/>
  <c r="M13" i="24"/>
  <c r="L13" i="24"/>
  <c r="M3" i="24"/>
  <c r="L3" i="24"/>
  <c r="M38" i="15" l="1"/>
  <c r="L38" i="15"/>
  <c r="M15" i="15"/>
  <c r="L15" i="15"/>
  <c r="M3" i="15"/>
  <c r="L3" i="15"/>
  <c r="L3" i="25"/>
  <c r="M3" i="25" s="1"/>
  <c r="L140" i="25"/>
  <c r="M140" i="25" s="1"/>
  <c r="L165" i="25"/>
  <c r="M165" i="25" s="1"/>
  <c r="L201" i="25"/>
  <c r="M201" i="25" s="1"/>
  <c r="L229" i="25"/>
  <c r="M229" i="25" s="1"/>
  <c r="L182" i="14" l="1"/>
  <c r="M182" i="14" s="1"/>
  <c r="L160" i="14"/>
  <c r="M160" i="14" s="1"/>
  <c r="L146" i="14"/>
  <c r="M146" i="14" s="1"/>
  <c r="L73" i="14"/>
  <c r="M73" i="14" s="1"/>
  <c r="L3" i="14"/>
  <c r="M3" i="14" s="1"/>
  <c r="L43" i="26"/>
  <c r="M43" i="26" s="1"/>
  <c r="L34" i="26"/>
  <c r="M34" i="26" s="1"/>
  <c r="L24" i="26"/>
  <c r="M24" i="26" s="1"/>
  <c r="L14" i="26"/>
  <c r="M14" i="26" s="1"/>
  <c r="L3" i="26"/>
  <c r="M3" i="26" s="1"/>
  <c r="L3" i="18"/>
  <c r="M3" i="18" s="1"/>
  <c r="L23" i="18"/>
  <c r="M23" i="18" s="1"/>
  <c r="L36" i="18"/>
  <c r="M36" i="18" s="1"/>
  <c r="L51" i="18"/>
  <c r="M51" i="18" s="1"/>
  <c r="L60" i="18"/>
  <c r="M60" i="18" s="1"/>
  <c r="L72" i="18"/>
  <c r="M72" i="18" s="1"/>
  <c r="L93" i="18"/>
  <c r="M93" i="18" s="1"/>
  <c r="L108" i="18"/>
  <c r="M108" i="18" s="1"/>
  <c r="C56" i="23"/>
  <c r="L156" i="13"/>
  <c r="M156" i="13" s="1"/>
  <c r="M100" i="13"/>
  <c r="L100" i="13"/>
  <c r="L62" i="13"/>
  <c r="M62" i="13" s="1"/>
  <c r="M3" i="13"/>
  <c r="L3" i="13"/>
  <c r="C190" i="14" l="1"/>
  <c r="C189" i="14"/>
  <c r="C188" i="14"/>
  <c r="C187" i="14"/>
  <c r="C178" i="14"/>
  <c r="C177" i="14"/>
  <c r="C176" i="14"/>
  <c r="C175" i="14"/>
  <c r="C174" i="14"/>
  <c r="C173" i="14"/>
  <c r="C172" i="14"/>
  <c r="C171" i="14"/>
  <c r="C170" i="14"/>
  <c r="C169" i="14"/>
  <c r="C168" i="14"/>
  <c r="C167" i="14"/>
  <c r="C166" i="14"/>
  <c r="C165" i="14"/>
  <c r="C156" i="14"/>
  <c r="C155" i="14"/>
  <c r="C154" i="14"/>
  <c r="C153" i="14"/>
  <c r="C152" i="14"/>
  <c r="C151" i="14"/>
  <c r="C142" i="14"/>
  <c r="C141" i="14"/>
  <c r="C140" i="14"/>
  <c r="C139" i="14"/>
  <c r="C138" i="14"/>
  <c r="C137" i="14"/>
  <c r="C136" i="14"/>
  <c r="C135" i="14"/>
  <c r="C134" i="14"/>
  <c r="C133" i="14"/>
  <c r="C132" i="14"/>
  <c r="C131" i="14"/>
  <c r="C130" i="14"/>
  <c r="C129" i="14"/>
  <c r="C128" i="14"/>
  <c r="C127" i="14"/>
  <c r="C126" i="14"/>
  <c r="C125" i="14"/>
  <c r="C124" i="14"/>
  <c r="C123" i="14"/>
  <c r="C122" i="14"/>
  <c r="C121" i="14"/>
  <c r="C120" i="14"/>
  <c r="C119" i="14"/>
  <c r="C118" i="14"/>
  <c r="C117" i="14"/>
  <c r="C116" i="14"/>
  <c r="C115" i="14"/>
  <c r="C114" i="14"/>
  <c r="C113" i="14"/>
  <c r="C112" i="14"/>
  <c r="C111" i="14"/>
  <c r="C110" i="14"/>
  <c r="C109" i="14"/>
  <c r="C108" i="14"/>
  <c r="C107" i="14"/>
  <c r="C106" i="14"/>
  <c r="C105" i="14"/>
  <c r="C104" i="14"/>
  <c r="C103" i="14"/>
  <c r="C102" i="14"/>
  <c r="C101" i="14"/>
  <c r="C100" i="14"/>
  <c r="C99" i="14"/>
  <c r="C98" i="14"/>
  <c r="C97" i="14"/>
  <c r="C96" i="14"/>
  <c r="C95" i="14"/>
  <c r="C94" i="14"/>
  <c r="C93" i="14"/>
  <c r="C92" i="14"/>
  <c r="C91" i="14"/>
  <c r="C90" i="14"/>
  <c r="C89" i="14"/>
  <c r="C88" i="14"/>
  <c r="C87" i="14"/>
  <c r="C86" i="14"/>
  <c r="C85" i="14"/>
  <c r="C84" i="14"/>
  <c r="C83" i="14"/>
  <c r="C82" i="14"/>
  <c r="C81" i="14"/>
  <c r="C80" i="14"/>
  <c r="C79" i="14"/>
  <c r="C78" i="14"/>
  <c r="C69" i="14"/>
  <c r="C68" i="14"/>
  <c r="C67" i="14"/>
  <c r="C66" i="14"/>
  <c r="C65" i="14"/>
  <c r="C64" i="14"/>
  <c r="C63" i="14"/>
  <c r="C62" i="14"/>
  <c r="C61" i="14"/>
  <c r="C60" i="14"/>
  <c r="C59" i="14"/>
  <c r="C58" i="14"/>
  <c r="C57" i="14"/>
  <c r="C56" i="14"/>
  <c r="C55" i="14"/>
  <c r="C54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48" i="26"/>
  <c r="C39" i="26"/>
  <c r="C30" i="26"/>
  <c r="C29" i="26"/>
  <c r="C20" i="26"/>
  <c r="C19" i="26"/>
  <c r="C10" i="26"/>
  <c r="C9" i="26"/>
  <c r="C8" i="26"/>
  <c r="C725" i="22"/>
  <c r="C724" i="22"/>
  <c r="C723" i="22"/>
  <c r="C722" i="22"/>
  <c r="C721" i="22"/>
  <c r="C720" i="22"/>
  <c r="C719" i="22"/>
  <c r="C718" i="22"/>
  <c r="C717" i="22"/>
  <c r="C708" i="22"/>
  <c r="C707" i="22"/>
  <c r="C706" i="22"/>
  <c r="C705" i="22"/>
  <c r="C704" i="22"/>
  <c r="C703" i="22"/>
  <c r="C702" i="22"/>
  <c r="C701" i="22"/>
  <c r="C700" i="22"/>
  <c r="C699" i="22"/>
  <c r="C698" i="22"/>
  <c r="C697" i="22"/>
  <c r="C696" i="22"/>
  <c r="C695" i="22"/>
  <c r="C694" i="22"/>
  <c r="C693" i="22"/>
  <c r="C692" i="22"/>
  <c r="C691" i="22"/>
  <c r="C690" i="22"/>
  <c r="C689" i="22"/>
  <c r="C688" i="22"/>
  <c r="C687" i="22"/>
  <c r="C686" i="22"/>
  <c r="C685" i="22"/>
  <c r="C684" i="22"/>
  <c r="C683" i="22"/>
  <c r="C682" i="22"/>
  <c r="C681" i="22"/>
  <c r="C680" i="22"/>
  <c r="C679" i="22"/>
  <c r="C678" i="22"/>
  <c r="C677" i="22"/>
  <c r="C676" i="22"/>
  <c r="C667" i="22"/>
  <c r="C666" i="22"/>
  <c r="C665" i="22"/>
  <c r="C664" i="22"/>
  <c r="C663" i="22"/>
  <c r="C662" i="22"/>
  <c r="C661" i="22"/>
  <c r="C660" i="22"/>
  <c r="C659" i="22"/>
  <c r="C658" i="22"/>
  <c r="C657" i="22"/>
  <c r="C656" i="22"/>
  <c r="C655" i="22"/>
  <c r="C654" i="22"/>
  <c r="C653" i="22"/>
  <c r="C652" i="22"/>
  <c r="C651" i="22"/>
  <c r="C650" i="22"/>
  <c r="C649" i="22"/>
  <c r="C648" i="22"/>
  <c r="C647" i="22"/>
  <c r="C646" i="22"/>
  <c r="C645" i="22"/>
  <c r="C644" i="22"/>
  <c r="C643" i="22"/>
  <c r="C642" i="22"/>
  <c r="C641" i="22"/>
  <c r="C640" i="22"/>
  <c r="C639" i="22"/>
  <c r="C638" i="22"/>
  <c r="C637" i="22"/>
  <c r="C636" i="22"/>
  <c r="C635" i="22"/>
  <c r="C634" i="22"/>
  <c r="C633" i="22"/>
  <c r="C632" i="22"/>
  <c r="C631" i="22"/>
  <c r="C630" i="22"/>
  <c r="C629" i="22"/>
  <c r="C628" i="22"/>
  <c r="C627" i="22"/>
  <c r="C626" i="22"/>
  <c r="C625" i="22"/>
  <c r="C624" i="22"/>
  <c r="C623" i="22"/>
  <c r="C622" i="22"/>
  <c r="C621" i="22"/>
  <c r="C620" i="22"/>
  <c r="C619" i="22"/>
  <c r="C618" i="22"/>
  <c r="C617" i="22"/>
  <c r="C616" i="22"/>
  <c r="C615" i="22"/>
  <c r="C614" i="22"/>
  <c r="C613" i="22"/>
  <c r="C612" i="22"/>
  <c r="C611" i="22"/>
  <c r="C610" i="22"/>
  <c r="C609" i="22"/>
  <c r="C608" i="22"/>
  <c r="C607" i="22"/>
  <c r="C606" i="22"/>
  <c r="C605" i="22"/>
  <c r="C604" i="22"/>
  <c r="C603" i="22"/>
  <c r="C602" i="22"/>
  <c r="C601" i="22"/>
  <c r="C600" i="22"/>
  <c r="C599" i="22"/>
  <c r="C598" i="22"/>
  <c r="C597" i="22"/>
  <c r="C596" i="22"/>
  <c r="C595" i="22"/>
  <c r="C594" i="22"/>
  <c r="C593" i="22"/>
  <c r="C592" i="22"/>
  <c r="C591" i="22"/>
  <c r="C590" i="22"/>
  <c r="C589" i="22"/>
  <c r="C588" i="22"/>
  <c r="C587" i="22"/>
  <c r="C586" i="22"/>
  <c r="C585" i="22"/>
  <c r="C584" i="22"/>
  <c r="C583" i="22"/>
  <c r="C582" i="22"/>
  <c r="C581" i="22"/>
  <c r="C580" i="22"/>
  <c r="C579" i="22"/>
  <c r="C578" i="22"/>
  <c r="C577" i="22"/>
  <c r="C576" i="22"/>
  <c r="C575" i="22"/>
  <c r="C574" i="22"/>
  <c r="C573" i="22"/>
  <c r="C572" i="22"/>
  <c r="C571" i="22"/>
  <c r="C570" i="22"/>
  <c r="C569" i="22"/>
  <c r="C568" i="22"/>
  <c r="C567" i="22"/>
  <c r="C566" i="22"/>
  <c r="C565" i="22"/>
  <c r="C564" i="22"/>
  <c r="C563" i="22"/>
  <c r="C562" i="22"/>
  <c r="C561" i="22"/>
  <c r="C560" i="22"/>
  <c r="C559" i="22"/>
  <c r="C558" i="22"/>
  <c r="C557" i="22"/>
  <c r="C556" i="22"/>
  <c r="C555" i="22"/>
  <c r="C554" i="22"/>
  <c r="C553" i="22"/>
  <c r="C552" i="22"/>
  <c r="C551" i="22"/>
  <c r="C550" i="22"/>
  <c r="C549" i="22"/>
  <c r="C548" i="22"/>
  <c r="C547" i="22"/>
  <c r="C546" i="22"/>
  <c r="C545" i="22"/>
  <c r="C544" i="22"/>
  <c r="C543" i="22"/>
  <c r="C542" i="22"/>
  <c r="C541" i="22"/>
  <c r="C540" i="22"/>
  <c r="C539" i="22"/>
  <c r="C538" i="22"/>
  <c r="C537" i="22"/>
  <c r="C536" i="22"/>
  <c r="C535" i="22"/>
  <c r="C534" i="22"/>
  <c r="C533" i="22"/>
  <c r="C532" i="22"/>
  <c r="C531" i="22"/>
  <c r="C530" i="22"/>
  <c r="C529" i="22"/>
  <c r="C528" i="22"/>
  <c r="C527" i="22"/>
  <c r="C526" i="22"/>
  <c r="C525" i="22"/>
  <c r="C524" i="22"/>
  <c r="C523" i="22"/>
  <c r="C522" i="22"/>
  <c r="C521" i="22"/>
  <c r="C520" i="22"/>
  <c r="C519" i="22"/>
  <c r="C518" i="22"/>
  <c r="C517" i="22"/>
  <c r="C516" i="22"/>
  <c r="C515" i="22"/>
  <c r="C514" i="22"/>
  <c r="C513" i="22"/>
  <c r="C512" i="22"/>
  <c r="C511" i="22"/>
  <c r="C510" i="22"/>
  <c r="C509" i="22"/>
  <c r="C508" i="22"/>
  <c r="C507" i="22"/>
  <c r="C506" i="22"/>
  <c r="C505" i="22"/>
  <c r="C504" i="22"/>
  <c r="C503" i="22"/>
  <c r="C502" i="22"/>
  <c r="C501" i="22"/>
  <c r="C500" i="22"/>
  <c r="C499" i="22"/>
  <c r="C498" i="22"/>
  <c r="C497" i="22"/>
  <c r="C496" i="22"/>
  <c r="C495" i="22"/>
  <c r="C494" i="22"/>
  <c r="C493" i="22"/>
  <c r="C492" i="22"/>
  <c r="C491" i="22"/>
  <c r="C490" i="22"/>
  <c r="C489" i="22"/>
  <c r="C488" i="22"/>
  <c r="C487" i="22"/>
  <c r="C486" i="22"/>
  <c r="C485" i="22"/>
  <c r="C484" i="22"/>
  <c r="C483" i="22"/>
  <c r="C482" i="22"/>
  <c r="C481" i="22"/>
  <c r="C480" i="22"/>
  <c r="C479" i="22"/>
  <c r="C478" i="22"/>
  <c r="C477" i="22"/>
  <c r="C476" i="22"/>
  <c r="C475" i="22"/>
  <c r="C474" i="22"/>
  <c r="C473" i="22"/>
  <c r="C472" i="22"/>
  <c r="C471" i="22"/>
  <c r="C470" i="22"/>
  <c r="C469" i="22"/>
  <c r="C468" i="22"/>
  <c r="C467" i="22"/>
  <c r="C466" i="22"/>
  <c r="C465" i="22"/>
  <c r="C464" i="22"/>
  <c r="C463" i="22"/>
  <c r="C462" i="22"/>
  <c r="C461" i="22"/>
  <c r="C460" i="22"/>
  <c r="C459" i="22"/>
  <c r="C458" i="22"/>
  <c r="C457" i="22"/>
  <c r="C456" i="22"/>
  <c r="C455" i="22"/>
  <c r="C454" i="22"/>
  <c r="C453" i="22"/>
  <c r="C452" i="22"/>
  <c r="C451" i="22"/>
  <c r="C450" i="22"/>
  <c r="C449" i="22"/>
  <c r="C448" i="22"/>
  <c r="C447" i="22"/>
  <c r="C446" i="22"/>
  <c r="C445" i="22"/>
  <c r="C444" i="22"/>
  <c r="C443" i="22"/>
  <c r="C442" i="22"/>
  <c r="C441" i="22"/>
  <c r="C440" i="22"/>
  <c r="C439" i="22"/>
  <c r="C438" i="22"/>
  <c r="C437" i="22"/>
  <c r="C436" i="22"/>
  <c r="C435" i="22"/>
  <c r="C434" i="22"/>
  <c r="C433" i="22"/>
  <c r="C432" i="22"/>
  <c r="C431" i="22"/>
  <c r="C430" i="22"/>
  <c r="C429" i="22"/>
  <c r="C428" i="22"/>
  <c r="C427" i="22"/>
  <c r="C426" i="22"/>
  <c r="C425" i="22"/>
  <c r="C424" i="22"/>
  <c r="C423" i="22"/>
  <c r="C422" i="22"/>
  <c r="C421" i="22"/>
  <c r="C420" i="22"/>
  <c r="C419" i="22"/>
  <c r="C418" i="22"/>
  <c r="C417" i="22"/>
  <c r="C416" i="22"/>
  <c r="C415" i="22"/>
  <c r="C414" i="22"/>
  <c r="C413" i="22"/>
  <c r="C412" i="22"/>
  <c r="C411" i="22"/>
  <c r="C410" i="22"/>
  <c r="C409" i="22"/>
  <c r="C408" i="22"/>
  <c r="C407" i="22"/>
  <c r="C406" i="22"/>
  <c r="C405" i="22"/>
  <c r="C404" i="22"/>
  <c r="C403" i="22"/>
  <c r="C402" i="22"/>
  <c r="C401" i="22"/>
  <c r="C400" i="22"/>
  <c r="C399" i="22"/>
  <c r="C398" i="22"/>
  <c r="C397" i="22"/>
  <c r="C396" i="22"/>
  <c r="C395" i="22"/>
  <c r="C394" i="22"/>
  <c r="C393" i="22"/>
  <c r="C392" i="22"/>
  <c r="C391" i="22"/>
  <c r="C390" i="22"/>
  <c r="C389" i="22"/>
  <c r="C388" i="22"/>
  <c r="C387" i="22"/>
  <c r="C386" i="22"/>
  <c r="C385" i="22"/>
  <c r="C384" i="22"/>
  <c r="C383" i="22"/>
  <c r="C382" i="22"/>
  <c r="C381" i="22"/>
  <c r="C380" i="22"/>
  <c r="C379" i="22"/>
  <c r="C378" i="22"/>
  <c r="C377" i="22"/>
  <c r="C376" i="22"/>
  <c r="C375" i="22"/>
  <c r="C374" i="22"/>
  <c r="C373" i="22"/>
  <c r="C372" i="22"/>
  <c r="C371" i="22"/>
  <c r="C370" i="22"/>
  <c r="C369" i="22"/>
  <c r="C368" i="22"/>
  <c r="C367" i="22"/>
  <c r="C366" i="22"/>
  <c r="C365" i="22"/>
  <c r="C364" i="22"/>
  <c r="C363" i="22"/>
  <c r="C362" i="22"/>
  <c r="C361" i="22"/>
  <c r="C360" i="22"/>
  <c r="C359" i="22"/>
  <c r="C358" i="22"/>
  <c r="C357" i="22"/>
  <c r="C356" i="22"/>
  <c r="C355" i="22"/>
  <c r="C354" i="22"/>
  <c r="C353" i="22"/>
  <c r="C352" i="22"/>
  <c r="C351" i="22"/>
  <c r="C350" i="22"/>
  <c r="C349" i="22"/>
  <c r="C348" i="22"/>
  <c r="C347" i="22"/>
  <c r="C346" i="22"/>
  <c r="C345" i="22"/>
  <c r="C344" i="22"/>
  <c r="C343" i="22"/>
  <c r="C342" i="22"/>
  <c r="C341" i="22"/>
  <c r="C340" i="22"/>
  <c r="C339" i="22"/>
  <c r="C338" i="22"/>
  <c r="C337" i="22"/>
  <c r="C336" i="22"/>
  <c r="C335" i="22"/>
  <c r="C334" i="22"/>
  <c r="C333" i="22"/>
  <c r="C332" i="22"/>
  <c r="C331" i="22"/>
  <c r="C330" i="22"/>
  <c r="C329" i="22"/>
  <c r="C328" i="22"/>
  <c r="C327" i="22"/>
  <c r="C326" i="22"/>
  <c r="C325" i="22"/>
  <c r="C324" i="22"/>
  <c r="C323" i="22"/>
  <c r="C322" i="22"/>
  <c r="C321" i="22"/>
  <c r="C320" i="22"/>
  <c r="C319" i="22"/>
  <c r="C318" i="22"/>
  <c r="C317" i="22"/>
  <c r="C316" i="22"/>
  <c r="C315" i="22"/>
  <c r="C314" i="22"/>
  <c r="C313" i="22"/>
  <c r="C312" i="22"/>
  <c r="C311" i="22"/>
  <c r="C310" i="22"/>
  <c r="C309" i="22"/>
  <c r="C308" i="22"/>
  <c r="C307" i="22"/>
  <c r="C306" i="22"/>
  <c r="C305" i="22"/>
  <c r="C304" i="22"/>
  <c r="C303" i="22"/>
  <c r="C302" i="22"/>
  <c r="C301" i="22"/>
  <c r="C300" i="22"/>
  <c r="C299" i="22"/>
  <c r="C298" i="22"/>
  <c r="C297" i="22"/>
  <c r="C296" i="22"/>
  <c r="C295" i="22"/>
  <c r="C294" i="22"/>
  <c r="C293" i="22"/>
  <c r="C292" i="22"/>
  <c r="C291" i="22"/>
  <c r="C290" i="22"/>
  <c r="C289" i="22"/>
  <c r="C288" i="22"/>
  <c r="C287" i="22"/>
  <c r="C286" i="22"/>
  <c r="C285" i="22"/>
  <c r="C284" i="22"/>
  <c r="C283" i="22"/>
  <c r="C282" i="22"/>
  <c r="C281" i="22"/>
  <c r="C280" i="22"/>
  <c r="C279" i="22"/>
  <c r="C278" i="22"/>
  <c r="C277" i="22"/>
  <c r="C276" i="22"/>
  <c r="C275" i="22"/>
  <c r="C274" i="22"/>
  <c r="C273" i="22"/>
  <c r="C272" i="22"/>
  <c r="C271" i="22"/>
  <c r="C270" i="22"/>
  <c r="C269" i="22"/>
  <c r="C268" i="22"/>
  <c r="C267" i="22"/>
  <c r="C266" i="22"/>
  <c r="C265" i="22"/>
  <c r="C264" i="22"/>
  <c r="C263" i="22"/>
  <c r="C262" i="22"/>
  <c r="C261" i="22"/>
  <c r="C260" i="22"/>
  <c r="C259" i="22"/>
  <c r="C258" i="22"/>
  <c r="C257" i="22"/>
  <c r="C256" i="22"/>
  <c r="C255" i="22"/>
  <c r="C254" i="22"/>
  <c r="C253" i="22"/>
  <c r="C252" i="22"/>
  <c r="C251" i="22"/>
  <c r="C250" i="22"/>
  <c r="C249" i="22"/>
  <c r="C248" i="22"/>
  <c r="C247" i="22"/>
  <c r="C246" i="22"/>
  <c r="C245" i="22"/>
  <c r="C244" i="22"/>
  <c r="C243" i="22"/>
  <c r="C242" i="22"/>
  <c r="C241" i="22"/>
  <c r="C240" i="22"/>
  <c r="C239" i="22"/>
  <c r="C238" i="22"/>
  <c r="C237" i="22"/>
  <c r="C236" i="22"/>
  <c r="C235" i="22"/>
  <c r="C234" i="22"/>
  <c r="C233" i="22"/>
  <c r="C232" i="22"/>
  <c r="C231" i="22"/>
  <c r="C230" i="22"/>
  <c r="C229" i="22"/>
  <c r="C228" i="22"/>
  <c r="C227" i="22"/>
  <c r="C226" i="22"/>
  <c r="C225" i="22"/>
  <c r="C224" i="22"/>
  <c r="C223" i="22"/>
  <c r="C222" i="22"/>
  <c r="C221" i="22"/>
  <c r="C220" i="22"/>
  <c r="C219" i="22"/>
  <c r="C218" i="22"/>
  <c r="C217" i="22"/>
  <c r="C216" i="22"/>
  <c r="C215" i="22"/>
  <c r="C214" i="22"/>
  <c r="C213" i="22"/>
  <c r="C212" i="22"/>
  <c r="C211" i="22"/>
  <c r="C210" i="22"/>
  <c r="C209" i="22"/>
  <c r="C208" i="22"/>
  <c r="C207" i="22"/>
  <c r="C206" i="22"/>
  <c r="C205" i="22"/>
  <c r="C204" i="22"/>
  <c r="C203" i="22"/>
  <c r="C202" i="22"/>
  <c r="C201" i="22"/>
  <c r="C200" i="22"/>
  <c r="C199" i="22"/>
  <c r="C198" i="22"/>
  <c r="C197" i="22"/>
  <c r="C196" i="22"/>
  <c r="C195" i="22"/>
  <c r="C194" i="22"/>
  <c r="C193" i="22"/>
  <c r="C192" i="22"/>
  <c r="C191" i="22"/>
  <c r="C190" i="22"/>
  <c r="C189" i="22"/>
  <c r="C188" i="22"/>
  <c r="C187" i="22"/>
  <c r="C186" i="22"/>
  <c r="C185" i="22"/>
  <c r="C184" i="22"/>
  <c r="C183" i="22"/>
  <c r="C182" i="22"/>
  <c r="C181" i="22"/>
  <c r="C180" i="22"/>
  <c r="C179" i="22"/>
  <c r="C178" i="22"/>
  <c r="C177" i="22"/>
  <c r="C176" i="22"/>
  <c r="C175" i="22"/>
  <c r="C174" i="22"/>
  <c r="C173" i="22"/>
  <c r="C172" i="22"/>
  <c r="C171" i="22"/>
  <c r="C170" i="22"/>
  <c r="C169" i="22"/>
  <c r="C168" i="22"/>
  <c r="C167" i="22"/>
  <c r="C166" i="22"/>
  <c r="C165" i="22"/>
  <c r="C164" i="22"/>
  <c r="C163" i="22"/>
  <c r="C162" i="22"/>
  <c r="C161" i="22"/>
  <c r="C160" i="22"/>
  <c r="C159" i="22"/>
  <c r="C158" i="22"/>
  <c r="C157" i="22"/>
  <c r="C156" i="22"/>
  <c r="C155" i="22"/>
  <c r="C154" i="22"/>
  <c r="C153" i="22"/>
  <c r="C152" i="22"/>
  <c r="C151" i="22"/>
  <c r="C150" i="22"/>
  <c r="C149" i="22"/>
  <c r="C148" i="22"/>
  <c r="C147" i="22"/>
  <c r="C146" i="22"/>
  <c r="C145" i="22"/>
  <c r="C144" i="22"/>
  <c r="C143" i="22"/>
  <c r="C142" i="22"/>
  <c r="C141" i="22"/>
  <c r="C140" i="22"/>
  <c r="C139" i="22"/>
  <c r="C138" i="22"/>
  <c r="C137" i="22"/>
  <c r="C136" i="22"/>
  <c r="C135" i="22"/>
  <c r="C134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115" i="22"/>
  <c r="C114" i="22"/>
  <c r="C113" i="22"/>
  <c r="C112" i="22"/>
  <c r="C111" i="22"/>
  <c r="C110" i="22"/>
  <c r="C109" i="22"/>
  <c r="C108" i="22"/>
  <c r="C107" i="22"/>
  <c r="C106" i="22"/>
  <c r="C105" i="22"/>
  <c r="C104" i="22"/>
  <c r="C103" i="22"/>
  <c r="C102" i="22"/>
  <c r="C101" i="22"/>
  <c r="C100" i="22"/>
  <c r="C99" i="22"/>
  <c r="C98" i="22"/>
  <c r="C97" i="22"/>
  <c r="C96" i="22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9" i="22"/>
  <c r="C78" i="22"/>
  <c r="C77" i="22"/>
  <c r="C76" i="22"/>
  <c r="C75" i="22"/>
  <c r="C74" i="22"/>
  <c r="C73" i="22"/>
  <c r="C72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8" i="22"/>
  <c r="C39" i="24"/>
  <c r="C38" i="24"/>
  <c r="C37" i="24"/>
  <c r="C28" i="24"/>
  <c r="C19" i="24"/>
  <c r="C18" i="24"/>
  <c r="C9" i="24" l="1"/>
  <c r="C8" i="24"/>
  <c r="C154" i="15"/>
  <c r="C153" i="15"/>
  <c r="C152" i="15"/>
  <c r="C151" i="15"/>
  <c r="C150" i="15"/>
  <c r="C149" i="15"/>
  <c r="C148" i="15"/>
  <c r="C147" i="15"/>
  <c r="C146" i="15"/>
  <c r="C145" i="15"/>
  <c r="C144" i="15"/>
  <c r="C143" i="15"/>
  <c r="C142" i="15"/>
  <c r="C141" i="15"/>
  <c r="C140" i="15"/>
  <c r="C139" i="15"/>
  <c r="C138" i="15"/>
  <c r="C137" i="15"/>
  <c r="C136" i="15"/>
  <c r="C135" i="15"/>
  <c r="C134" i="15"/>
  <c r="C133" i="15"/>
  <c r="C132" i="15"/>
  <c r="C131" i="15"/>
  <c r="C130" i="15"/>
  <c r="C129" i="15"/>
  <c r="C128" i="15"/>
  <c r="C127" i="15"/>
  <c r="C126" i="15"/>
  <c r="C125" i="15"/>
  <c r="C124" i="15"/>
  <c r="C123" i="15"/>
  <c r="C122" i="15"/>
  <c r="C121" i="15"/>
  <c r="C120" i="15"/>
  <c r="C119" i="15"/>
  <c r="C118" i="15"/>
  <c r="C117" i="15"/>
  <c r="C116" i="15"/>
  <c r="C115" i="15"/>
  <c r="C114" i="15"/>
  <c r="C113" i="15"/>
  <c r="C112" i="15"/>
  <c r="C111" i="15"/>
  <c r="C110" i="15"/>
  <c r="C109" i="15"/>
  <c r="C108" i="15"/>
  <c r="C107" i="15"/>
  <c r="C106" i="15"/>
  <c r="C105" i="15"/>
  <c r="C104" i="15"/>
  <c r="C103" i="15"/>
  <c r="C102" i="15"/>
  <c r="C101" i="15"/>
  <c r="C100" i="15"/>
  <c r="C99" i="15"/>
  <c r="C98" i="15"/>
  <c r="C97" i="15"/>
  <c r="C96" i="15"/>
  <c r="C95" i="15"/>
  <c r="C94" i="15"/>
  <c r="C93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C75" i="15"/>
  <c r="C74" i="15"/>
  <c r="C73" i="15"/>
  <c r="C72" i="15"/>
  <c r="C71" i="15"/>
  <c r="C70" i="15"/>
  <c r="C69" i="15"/>
  <c r="C68" i="15"/>
  <c r="C67" i="15"/>
  <c r="C66" i="15"/>
  <c r="C65" i="15"/>
  <c r="C64" i="15"/>
  <c r="C63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1" i="15"/>
  <c r="C10" i="15"/>
  <c r="C9" i="15"/>
  <c r="C8" i="15"/>
  <c r="C113" i="18"/>
  <c r="C104" i="18"/>
  <c r="C103" i="18"/>
  <c r="C102" i="18"/>
  <c r="C101" i="18"/>
  <c r="C100" i="18"/>
  <c r="C99" i="18"/>
  <c r="C98" i="18"/>
  <c r="C89" i="18"/>
  <c r="C88" i="18"/>
  <c r="C87" i="18"/>
  <c r="C86" i="18"/>
  <c r="C85" i="18"/>
  <c r="C84" i="18"/>
  <c r="C83" i="18"/>
  <c r="C82" i="18"/>
  <c r="C81" i="18"/>
  <c r="C80" i="18"/>
  <c r="C79" i="18"/>
  <c r="C78" i="18"/>
  <c r="C77" i="18"/>
  <c r="C68" i="18"/>
  <c r="C67" i="18"/>
  <c r="C66" i="18"/>
  <c r="C65" i="18"/>
  <c r="C56" i="18"/>
  <c r="C47" i="18"/>
  <c r="C46" i="18"/>
  <c r="C45" i="18"/>
  <c r="C44" i="18"/>
  <c r="C43" i="18"/>
  <c r="C42" i="18"/>
  <c r="C41" i="18"/>
  <c r="C32" i="18"/>
  <c r="C31" i="18"/>
  <c r="C30" i="18"/>
  <c r="C29" i="18"/>
  <c r="C28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238" i="25"/>
  <c r="C237" i="25"/>
  <c r="C236" i="25"/>
  <c r="C235" i="25"/>
  <c r="C234" i="25"/>
  <c r="C225" i="25"/>
  <c r="C224" i="25"/>
  <c r="C223" i="25"/>
  <c r="C222" i="25"/>
  <c r="C221" i="25"/>
  <c r="C220" i="25"/>
  <c r="C219" i="25"/>
  <c r="C218" i="25"/>
  <c r="C217" i="25"/>
  <c r="C216" i="25"/>
  <c r="C215" i="25"/>
  <c r="C214" i="25"/>
  <c r="C213" i="25"/>
  <c r="C212" i="25"/>
  <c r="C211" i="25"/>
  <c r="C210" i="25"/>
  <c r="C209" i="25"/>
  <c r="C208" i="25"/>
  <c r="C207" i="25"/>
  <c r="C206" i="25"/>
  <c r="C197" i="25"/>
  <c r="C196" i="25"/>
  <c r="C195" i="25"/>
  <c r="C194" i="25"/>
  <c r="C193" i="25"/>
  <c r="C192" i="25"/>
  <c r="C191" i="25"/>
  <c r="C190" i="25"/>
  <c r="C189" i="25"/>
  <c r="C188" i="25"/>
  <c r="C187" i="25"/>
  <c r="C186" i="25"/>
  <c r="C185" i="25"/>
  <c r="C184" i="25"/>
  <c r="C183" i="25"/>
  <c r="C182" i="25"/>
  <c r="C181" i="25"/>
  <c r="C180" i="25"/>
  <c r="C179" i="25"/>
  <c r="C178" i="25"/>
  <c r="C177" i="25"/>
  <c r="C176" i="25"/>
  <c r="C175" i="25"/>
  <c r="C174" i="25"/>
  <c r="C173" i="25"/>
  <c r="C172" i="25"/>
  <c r="C171" i="25"/>
  <c r="C170" i="25"/>
  <c r="C161" i="25"/>
  <c r="C160" i="25"/>
  <c r="C159" i="25"/>
  <c r="C158" i="25"/>
  <c r="C157" i="25"/>
  <c r="C156" i="25"/>
  <c r="C155" i="25"/>
  <c r="C154" i="25"/>
  <c r="C153" i="25"/>
  <c r="C152" i="25"/>
  <c r="C151" i="25"/>
  <c r="C150" i="25"/>
  <c r="C149" i="25"/>
  <c r="C148" i="25"/>
  <c r="C147" i="25"/>
  <c r="C146" i="25"/>
  <c r="C145" i="25"/>
  <c r="C136" i="25"/>
  <c r="C135" i="25"/>
  <c r="C134" i="25"/>
  <c r="C133" i="25"/>
  <c r="C132" i="25"/>
  <c r="C131" i="25"/>
  <c r="C130" i="25"/>
  <c r="C129" i="25"/>
  <c r="C128" i="25"/>
  <c r="C127" i="25"/>
  <c r="C126" i="25"/>
  <c r="C125" i="25"/>
  <c r="C124" i="25"/>
  <c r="C123" i="25"/>
  <c r="C122" i="25"/>
  <c r="C121" i="25"/>
  <c r="C120" i="25"/>
  <c r="C119" i="25"/>
  <c r="C118" i="25"/>
  <c r="C117" i="25"/>
  <c r="C116" i="25"/>
  <c r="C115" i="25"/>
  <c r="C114" i="25"/>
  <c r="C113" i="25"/>
  <c r="C112" i="25"/>
  <c r="C111" i="25"/>
  <c r="C110" i="25"/>
  <c r="C109" i="25"/>
  <c r="C108" i="25"/>
  <c r="C107" i="25"/>
  <c r="C106" i="25"/>
  <c r="C105" i="25"/>
  <c r="C104" i="25"/>
  <c r="C103" i="25"/>
  <c r="C102" i="25"/>
  <c r="C101" i="25"/>
  <c r="C100" i="25"/>
  <c r="C99" i="25"/>
  <c r="C98" i="25"/>
  <c r="C97" i="25"/>
  <c r="C96" i="25"/>
  <c r="C95" i="25"/>
  <c r="C94" i="25"/>
  <c r="C93" i="25"/>
  <c r="C92" i="25"/>
  <c r="C91" i="25"/>
  <c r="C90" i="25"/>
  <c r="C89" i="25"/>
  <c r="C88" i="25"/>
  <c r="C87" i="25"/>
  <c r="C86" i="25"/>
  <c r="C85" i="25"/>
  <c r="C84" i="25"/>
  <c r="C83" i="25"/>
  <c r="C82" i="25"/>
  <c r="C81" i="25"/>
  <c r="C80" i="25"/>
  <c r="C79" i="25"/>
  <c r="C78" i="25"/>
  <c r="C77" i="25"/>
  <c r="C76" i="25"/>
  <c r="C75" i="25"/>
  <c r="C74" i="25"/>
  <c r="C73" i="25"/>
  <c r="C72" i="25"/>
  <c r="C71" i="25"/>
  <c r="C70" i="25"/>
  <c r="C69" i="25"/>
  <c r="C68" i="25"/>
  <c r="C67" i="25"/>
  <c r="C66" i="25"/>
  <c r="C65" i="25"/>
  <c r="C64" i="25"/>
  <c r="C63" i="25"/>
  <c r="C62" i="25"/>
  <c r="C61" i="25"/>
  <c r="C60" i="25"/>
  <c r="C59" i="25"/>
  <c r="C58" i="25"/>
  <c r="C57" i="25"/>
  <c r="C56" i="25"/>
  <c r="C55" i="25"/>
  <c r="C54" i="25"/>
  <c r="C53" i="25"/>
  <c r="C52" i="25"/>
  <c r="C51" i="25"/>
  <c r="C50" i="25"/>
  <c r="C49" i="25"/>
  <c r="C48" i="25"/>
  <c r="C47" i="25"/>
  <c r="C46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416" i="20"/>
  <c r="C415" i="20"/>
  <c r="C414" i="20"/>
  <c r="C413" i="20"/>
  <c r="C412" i="20"/>
  <c r="C411" i="20"/>
  <c r="C410" i="20"/>
  <c r="C409" i="20"/>
  <c r="C408" i="20"/>
  <c r="C407" i="20"/>
  <c r="C406" i="20"/>
  <c r="C405" i="20"/>
  <c r="C404" i="20"/>
  <c r="C403" i="20"/>
  <c r="C402" i="20"/>
  <c r="C401" i="20"/>
  <c r="C400" i="20"/>
  <c r="C399" i="20"/>
  <c r="C398" i="20"/>
  <c r="C397" i="20"/>
  <c r="C396" i="20"/>
  <c r="C395" i="20"/>
  <c r="C394" i="20"/>
  <c r="C393" i="20"/>
  <c r="C392" i="20"/>
  <c r="C391" i="20"/>
  <c r="C390" i="20"/>
  <c r="C389" i="20"/>
  <c r="C388" i="20"/>
  <c r="C387" i="20"/>
  <c r="C386" i="20"/>
  <c r="C385" i="20"/>
  <c r="C384" i="20"/>
  <c r="C383" i="20"/>
  <c r="C382" i="20"/>
  <c r="C381" i="20"/>
  <c r="C380" i="20"/>
  <c r="C379" i="20"/>
  <c r="C378" i="20"/>
  <c r="C377" i="20"/>
  <c r="C376" i="20"/>
  <c r="C375" i="20"/>
  <c r="C374" i="20"/>
  <c r="C373" i="20"/>
  <c r="C372" i="20"/>
  <c r="C371" i="20"/>
  <c r="C370" i="20"/>
  <c r="C369" i="20"/>
  <c r="C368" i="20"/>
  <c r="C367" i="20"/>
  <c r="C366" i="20"/>
  <c r="C365" i="20"/>
  <c r="C364" i="20"/>
  <c r="C363" i="20"/>
  <c r="C362" i="20"/>
  <c r="C361" i="20"/>
  <c r="C360" i="20"/>
  <c r="C359" i="20"/>
  <c r="C358" i="20"/>
  <c r="C357" i="20"/>
  <c r="C356" i="20"/>
  <c r="C355" i="20"/>
  <c r="C354" i="20"/>
  <c r="C353" i="20"/>
  <c r="C352" i="20"/>
  <c r="C351" i="20"/>
  <c r="C350" i="20"/>
  <c r="C349" i="20"/>
  <c r="C348" i="20"/>
  <c r="C347" i="20"/>
  <c r="C346" i="20"/>
  <c r="C345" i="20"/>
  <c r="C344" i="20"/>
  <c r="C343" i="20"/>
  <c r="C342" i="20"/>
  <c r="C341" i="20"/>
  <c r="C340" i="20"/>
  <c r="C339" i="20"/>
  <c r="C338" i="20"/>
  <c r="C337" i="20"/>
  <c r="C336" i="20"/>
  <c r="C335" i="20"/>
  <c r="C334" i="20"/>
  <c r="C333" i="20"/>
  <c r="C332" i="20"/>
  <c r="C331" i="20"/>
  <c r="C330" i="20"/>
  <c r="C329" i="20"/>
  <c r="C328" i="20"/>
  <c r="C327" i="20"/>
  <c r="C326" i="20"/>
  <c r="C325" i="20"/>
  <c r="C324" i="20"/>
  <c r="C323" i="20"/>
  <c r="C322" i="20"/>
  <c r="C321" i="20"/>
  <c r="C320" i="20"/>
  <c r="C319" i="20"/>
  <c r="C318" i="20"/>
  <c r="C317" i="20"/>
  <c r="C316" i="20"/>
  <c r="C315" i="20"/>
  <c r="C314" i="20"/>
  <c r="C313" i="20"/>
  <c r="C312" i="20"/>
  <c r="C311" i="20"/>
  <c r="C310" i="20"/>
  <c r="C309" i="20"/>
  <c r="C308" i="20"/>
  <c r="C307" i="20"/>
  <c r="C306" i="20"/>
  <c r="C305" i="20"/>
  <c r="C304" i="20"/>
  <c r="C303" i="20"/>
  <c r="C302" i="20"/>
  <c r="C301" i="20"/>
  <c r="C300" i="20"/>
  <c r="C299" i="20"/>
  <c r="C298" i="20"/>
  <c r="C297" i="20"/>
  <c r="C296" i="20"/>
  <c r="C295" i="20"/>
  <c r="C294" i="20"/>
  <c r="C293" i="20"/>
  <c r="C292" i="20"/>
  <c r="C291" i="20"/>
  <c r="C290" i="20"/>
  <c r="C289" i="20"/>
  <c r="C288" i="20"/>
  <c r="C287" i="20"/>
  <c r="C286" i="20"/>
  <c r="C285" i="20"/>
  <c r="C284" i="20"/>
  <c r="C283" i="20"/>
  <c r="C282" i="20"/>
  <c r="C281" i="20"/>
  <c r="C280" i="20"/>
  <c r="C279" i="20"/>
  <c r="C278" i="20"/>
  <c r="C277" i="20"/>
  <c r="C276" i="20"/>
  <c r="C275" i="20"/>
  <c r="C274" i="20"/>
  <c r="C273" i="20"/>
  <c r="C272" i="20"/>
  <c r="C271" i="20"/>
  <c r="C270" i="20"/>
  <c r="C269" i="20"/>
  <c r="C268" i="20"/>
  <c r="C267" i="20"/>
  <c r="C266" i="20"/>
  <c r="C265" i="20"/>
  <c r="C264" i="20"/>
  <c r="C263" i="20"/>
  <c r="C262" i="20"/>
  <c r="C261" i="20"/>
  <c r="C260" i="20"/>
  <c r="C259" i="20"/>
  <c r="C258" i="20"/>
  <c r="C257" i="20"/>
  <c r="C256" i="20"/>
  <c r="C255" i="20"/>
  <c r="C254" i="20"/>
  <c r="C253" i="20"/>
  <c r="C252" i="20"/>
  <c r="C251" i="20"/>
  <c r="C250" i="20"/>
  <c r="C249" i="20"/>
  <c r="C248" i="20"/>
  <c r="C247" i="20"/>
  <c r="C246" i="20"/>
  <c r="C245" i="20"/>
  <c r="C244" i="20"/>
  <c r="C243" i="20"/>
  <c r="C242" i="20"/>
  <c r="C241" i="20"/>
  <c r="C240" i="20"/>
  <c r="C239" i="20"/>
  <c r="C238" i="20"/>
  <c r="C237" i="20"/>
  <c r="C236" i="20"/>
  <c r="C235" i="20"/>
  <c r="C234" i="20"/>
  <c r="C233" i="20"/>
  <c r="C232" i="20"/>
  <c r="C231" i="20"/>
  <c r="C230" i="20"/>
  <c r="C229" i="20"/>
  <c r="C228" i="20"/>
  <c r="C227" i="20"/>
  <c r="C226" i="20"/>
  <c r="C225" i="20"/>
  <c r="C224" i="20"/>
  <c r="C223" i="20"/>
  <c r="C222" i="20"/>
  <c r="C221" i="20"/>
  <c r="C220" i="20"/>
  <c r="C219" i="20"/>
  <c r="C218" i="20"/>
  <c r="C217" i="20"/>
  <c r="C216" i="20"/>
  <c r="C215" i="20"/>
  <c r="C214" i="20"/>
  <c r="C213" i="20"/>
  <c r="C212" i="20"/>
  <c r="C211" i="20"/>
  <c r="C210" i="20"/>
  <c r="C209" i="20"/>
  <c r="C208" i="20"/>
  <c r="C207" i="20"/>
  <c r="C206" i="20"/>
  <c r="C205" i="20"/>
  <c r="C204" i="20"/>
  <c r="C203" i="20"/>
  <c r="C202" i="20"/>
  <c r="C201" i="20"/>
  <c r="C200" i="20"/>
  <c r="C199" i="20"/>
  <c r="C198" i="20"/>
  <c r="C197" i="20"/>
  <c r="C196" i="20"/>
  <c r="C195" i="20"/>
  <c r="C194" i="20"/>
  <c r="C193" i="20"/>
  <c r="C192" i="20"/>
  <c r="C191" i="20"/>
  <c r="C190" i="20"/>
  <c r="C189" i="20"/>
  <c r="C188" i="20"/>
  <c r="C187" i="20"/>
  <c r="C186" i="20"/>
  <c r="C185" i="20"/>
  <c r="C184" i="20"/>
  <c r="C183" i="20"/>
  <c r="C182" i="20"/>
  <c r="C181" i="20"/>
  <c r="C180" i="20"/>
  <c r="C179" i="20"/>
  <c r="C178" i="20"/>
  <c r="C177" i="20"/>
  <c r="C176" i="20"/>
  <c r="C175" i="20"/>
  <c r="C174" i="20"/>
  <c r="C173" i="20"/>
  <c r="C172" i="20"/>
  <c r="C171" i="20"/>
  <c r="C170" i="20"/>
  <c r="C169" i="20"/>
  <c r="C168" i="20"/>
  <c r="C167" i="20"/>
  <c r="C166" i="20"/>
  <c r="C165" i="20"/>
  <c r="C164" i="20"/>
  <c r="C163" i="20"/>
  <c r="C162" i="20"/>
  <c r="C161" i="20"/>
  <c r="C160" i="20"/>
  <c r="C159" i="20"/>
  <c r="C158" i="20"/>
  <c r="C157" i="20"/>
  <c r="C156" i="20"/>
  <c r="C155" i="20"/>
  <c r="C154" i="20"/>
  <c r="C153" i="20"/>
  <c r="C152" i="20"/>
  <c r="C151" i="20"/>
  <c r="C150" i="20"/>
  <c r="C149" i="20"/>
  <c r="C148" i="20"/>
  <c r="C147" i="20"/>
  <c r="C146" i="20"/>
  <c r="C145" i="20"/>
  <c r="C144" i="20"/>
  <c r="C143" i="20"/>
  <c r="C142" i="20"/>
  <c r="C141" i="20"/>
  <c r="C140" i="20"/>
  <c r="C139" i="20"/>
  <c r="C138" i="20"/>
  <c r="C137" i="20"/>
  <c r="C136" i="20"/>
  <c r="C135" i="20"/>
  <c r="C134" i="20"/>
  <c r="C133" i="20"/>
  <c r="C132" i="20"/>
  <c r="C131" i="20"/>
  <c r="C130" i="20"/>
  <c r="C129" i="20"/>
  <c r="C128" i="20"/>
  <c r="C127" i="20"/>
  <c r="C126" i="20"/>
  <c r="C125" i="20"/>
  <c r="C124" i="20"/>
  <c r="C123" i="20"/>
  <c r="C122" i="20"/>
  <c r="C121" i="20"/>
  <c r="C120" i="20"/>
  <c r="C119" i="20"/>
  <c r="C118" i="20"/>
  <c r="C117" i="20"/>
  <c r="C116" i="20"/>
  <c r="C115" i="20"/>
  <c r="C114" i="20"/>
  <c r="C113" i="20"/>
  <c r="C112" i="20"/>
  <c r="C111" i="20"/>
  <c r="C110" i="20"/>
  <c r="C109" i="20"/>
  <c r="C108" i="20"/>
  <c r="C107" i="20"/>
  <c r="C106" i="20"/>
  <c r="C105" i="20"/>
  <c r="C104" i="20"/>
  <c r="C103" i="20"/>
  <c r="C102" i="20"/>
  <c r="C101" i="20"/>
  <c r="C100" i="20"/>
  <c r="C99" i="20"/>
  <c r="C98" i="20"/>
  <c r="C97" i="20"/>
  <c r="C96" i="20"/>
  <c r="C95" i="20"/>
  <c r="C94" i="20"/>
  <c r="C93" i="20"/>
  <c r="C92" i="20"/>
  <c r="C91" i="20"/>
  <c r="C90" i="20"/>
  <c r="C89" i="20"/>
  <c r="C88" i="20"/>
  <c r="C87" i="20"/>
  <c r="C86" i="20"/>
  <c r="C85" i="20"/>
  <c r="C84" i="20"/>
  <c r="C83" i="20"/>
  <c r="C82" i="20"/>
  <c r="C81" i="20"/>
  <c r="C80" i="20"/>
  <c r="C79" i="20"/>
  <c r="C78" i="20"/>
  <c r="C77" i="20"/>
  <c r="C76" i="20"/>
  <c r="C75" i="20"/>
  <c r="C74" i="20"/>
  <c r="C73" i="20"/>
  <c r="C72" i="20"/>
  <c r="C71" i="20"/>
  <c r="C70" i="20"/>
  <c r="C69" i="20"/>
  <c r="C68" i="20"/>
  <c r="C67" i="20"/>
  <c r="C66" i="20"/>
  <c r="C65" i="20"/>
  <c r="C64" i="20"/>
  <c r="C63" i="20"/>
  <c r="C62" i="20"/>
  <c r="C61" i="20"/>
  <c r="C60" i="20"/>
  <c r="C59" i="20"/>
  <c r="C58" i="20"/>
  <c r="C57" i="20"/>
  <c r="C56" i="20"/>
  <c r="C55" i="20"/>
  <c r="C54" i="20"/>
  <c r="C53" i="20"/>
  <c r="C52" i="20"/>
  <c r="C51" i="20"/>
  <c r="C50" i="20"/>
  <c r="C49" i="20"/>
  <c r="C48" i="20"/>
  <c r="C47" i="20"/>
  <c r="C46" i="20"/>
  <c r="C45" i="20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444" i="1" l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352" i="16"/>
  <c r="C351" i="16"/>
  <c r="C350" i="16"/>
  <c r="C349" i="16"/>
  <c r="C348" i="16"/>
  <c r="C347" i="16"/>
  <c r="C338" i="16"/>
  <c r="C337" i="16"/>
  <c r="C336" i="16"/>
  <c r="C335" i="16"/>
  <c r="C334" i="16"/>
  <c r="C333" i="16"/>
  <c r="C332" i="16"/>
  <c r="C331" i="16"/>
  <c r="C330" i="16"/>
  <c r="C329" i="16"/>
  <c r="C328" i="16"/>
  <c r="C327" i="16"/>
  <c r="C326" i="16"/>
  <c r="C325" i="16"/>
  <c r="C324" i="16"/>
  <c r="C323" i="16"/>
  <c r="C322" i="16"/>
  <c r="C321" i="16"/>
  <c r="C320" i="16"/>
  <c r="C311" i="16"/>
  <c r="C310" i="16"/>
  <c r="C309" i="16"/>
  <c r="C308" i="16"/>
  <c r="C307" i="16"/>
  <c r="C306" i="16"/>
  <c r="C305" i="16"/>
  <c r="C304" i="16"/>
  <c r="C303" i="16"/>
  <c r="C302" i="16"/>
  <c r="C301" i="16"/>
  <c r="C300" i="16"/>
  <c r="C299" i="16"/>
  <c r="C298" i="16"/>
  <c r="C297" i="16"/>
  <c r="C296" i="16"/>
  <c r="C295" i="16"/>
  <c r="C294" i="16"/>
  <c r="C285" i="16"/>
  <c r="C284" i="16"/>
  <c r="C283" i="16"/>
  <c r="C282" i="16"/>
  <c r="C281" i="16"/>
  <c r="C280" i="16"/>
  <c r="C279" i="16"/>
  <c r="C278" i="16"/>
  <c r="C277" i="16"/>
  <c r="C276" i="16"/>
  <c r="C275" i="16"/>
  <c r="C274" i="16"/>
  <c r="C273" i="16"/>
  <c r="C272" i="16"/>
  <c r="C271" i="16"/>
  <c r="C270" i="16"/>
  <c r="C269" i="16"/>
  <c r="C268" i="16"/>
  <c r="C267" i="16"/>
  <c r="C258" i="16"/>
  <c r="C257" i="16"/>
  <c r="C256" i="16"/>
  <c r="C255" i="16"/>
  <c r="C254" i="16"/>
  <c r="C253" i="16"/>
  <c r="C252" i="16"/>
  <c r="C251" i="16"/>
  <c r="C250" i="16"/>
  <c r="C249" i="16"/>
  <c r="C248" i="16"/>
  <c r="C247" i="16"/>
  <c r="C246" i="16"/>
  <c r="C245" i="16"/>
  <c r="C236" i="16"/>
  <c r="C235" i="16"/>
  <c r="C234" i="16"/>
  <c r="C233" i="16"/>
  <c r="C232" i="16"/>
  <c r="C231" i="16"/>
  <c r="C230" i="16"/>
  <c r="C229" i="16"/>
  <c r="C228" i="16"/>
  <c r="C227" i="16"/>
  <c r="C226" i="16"/>
  <c r="C217" i="16"/>
  <c r="C216" i="16"/>
  <c r="C215" i="16"/>
  <c r="C214" i="16"/>
  <c r="C213" i="16"/>
  <c r="C212" i="16"/>
  <c r="C211" i="16"/>
  <c r="C210" i="16"/>
  <c r="C209" i="16"/>
  <c r="C208" i="16"/>
  <c r="C207" i="16"/>
  <c r="C206" i="16"/>
  <c r="C205" i="16"/>
  <c r="C204" i="16"/>
  <c r="C203" i="16"/>
  <c r="C194" i="16"/>
  <c r="C193" i="16"/>
  <c r="C192" i="16"/>
  <c r="C191" i="16"/>
  <c r="C190" i="16"/>
  <c r="C189" i="16"/>
  <c r="C188" i="16"/>
  <c r="C187" i="16"/>
  <c r="C186" i="16"/>
  <c r="C185" i="16"/>
  <c r="C184" i="16"/>
  <c r="C183" i="16"/>
  <c r="C182" i="16"/>
  <c r="C181" i="16"/>
  <c r="C180" i="16"/>
  <c r="C179" i="16"/>
  <c r="C178" i="16"/>
  <c r="C177" i="16"/>
  <c r="C176" i="16"/>
  <c r="C175" i="16"/>
  <c r="C166" i="16"/>
  <c r="C165" i="16"/>
  <c r="C164" i="16"/>
  <c r="C163" i="16"/>
  <c r="C162" i="16"/>
  <c r="C161" i="16"/>
  <c r="C160" i="16"/>
  <c r="C159" i="16"/>
  <c r="C158" i="16"/>
  <c r="C157" i="16"/>
  <c r="C156" i="16"/>
  <c r="C155" i="16"/>
  <c r="C154" i="16"/>
  <c r="C153" i="16"/>
  <c r="C152" i="16"/>
  <c r="C151" i="16"/>
  <c r="C150" i="16"/>
  <c r="C149" i="16"/>
  <c r="C148" i="16"/>
  <c r="C147" i="16"/>
  <c r="C146" i="16"/>
  <c r="C145" i="16"/>
  <c r="C144" i="16"/>
  <c r="C143" i="16"/>
  <c r="C142" i="16"/>
  <c r="C141" i="16"/>
  <c r="C140" i="16"/>
  <c r="C139" i="16"/>
  <c r="C138" i="16"/>
  <c r="C137" i="16"/>
  <c r="C136" i="16"/>
  <c r="C135" i="16"/>
  <c r="C134" i="16"/>
  <c r="C133" i="16"/>
  <c r="C132" i="16"/>
  <c r="C131" i="16"/>
  <c r="C130" i="16"/>
  <c r="C129" i="16"/>
  <c r="C128" i="16"/>
  <c r="C127" i="16"/>
  <c r="C126" i="16"/>
  <c r="C125" i="16"/>
  <c r="C124" i="16"/>
  <c r="C123" i="16"/>
  <c r="C122" i="16"/>
  <c r="C121" i="16"/>
  <c r="C120" i="16"/>
  <c r="C119" i="16"/>
  <c r="C118" i="16"/>
  <c r="C117" i="16"/>
  <c r="C116" i="16"/>
  <c r="C115" i="16"/>
  <c r="C114" i="16"/>
  <c r="C113" i="16"/>
  <c r="C112" i="16"/>
  <c r="C111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187" i="23"/>
  <c r="C186" i="23"/>
  <c r="C185" i="23"/>
  <c r="C184" i="23"/>
  <c r="C183" i="23"/>
  <c r="C182" i="23"/>
  <c r="C181" i="23"/>
  <c r="C180" i="23"/>
  <c r="C179" i="23"/>
  <c r="C178" i="23"/>
  <c r="C177" i="23"/>
  <c r="C176" i="23"/>
  <c r="C167" i="23"/>
  <c r="C158" i="23"/>
  <c r="C157" i="23"/>
  <c r="C156" i="23"/>
  <c r="C155" i="23"/>
  <c r="C154" i="23"/>
  <c r="C153" i="23"/>
  <c r="C152" i="23"/>
  <c r="C151" i="23"/>
  <c r="C150" i="23"/>
  <c r="C149" i="23"/>
  <c r="C148" i="23"/>
  <c r="C147" i="23"/>
  <c r="C146" i="23"/>
  <c r="C145" i="23"/>
  <c r="C144" i="23"/>
  <c r="C143" i="23"/>
  <c r="C142" i="23"/>
  <c r="C141" i="23"/>
  <c r="C140" i="23"/>
  <c r="C139" i="23"/>
  <c r="C138" i="23"/>
  <c r="C137" i="23"/>
  <c r="C136" i="23"/>
  <c r="C135" i="23"/>
  <c r="C134" i="23"/>
  <c r="C133" i="23"/>
  <c r="C132" i="23"/>
  <c r="C131" i="23"/>
  <c r="C130" i="23"/>
  <c r="C129" i="23"/>
  <c r="C128" i="23"/>
  <c r="C127" i="23"/>
  <c r="C126" i="23"/>
  <c r="C125" i="23"/>
  <c r="C124" i="23"/>
  <c r="C123" i="23"/>
  <c r="C122" i="23"/>
  <c r="C121" i="23"/>
  <c r="C120" i="23"/>
  <c r="C119" i="23"/>
  <c r="C118" i="23"/>
  <c r="C117" i="23"/>
  <c r="C116" i="23"/>
  <c r="C115" i="23"/>
  <c r="C114" i="23"/>
  <c r="C113" i="23"/>
  <c r="C112" i="23"/>
  <c r="C111" i="23"/>
  <c r="C87" i="23"/>
  <c r="C86" i="23"/>
  <c r="C77" i="23"/>
  <c r="C76" i="23"/>
  <c r="C75" i="23"/>
  <c r="C74" i="23"/>
  <c r="C73" i="23"/>
  <c r="C72" i="23"/>
  <c r="C71" i="23"/>
  <c r="C70" i="23"/>
  <c r="C69" i="23"/>
  <c r="C68" i="23"/>
  <c r="C67" i="23"/>
  <c r="C66" i="23"/>
  <c r="C57" i="23"/>
  <c r="C47" i="23"/>
  <c r="C46" i="23"/>
  <c r="C45" i="23"/>
  <c r="C44" i="23"/>
  <c r="C43" i="23"/>
  <c r="C42" i="23"/>
  <c r="C41" i="23"/>
  <c r="C40" i="23"/>
  <c r="C39" i="23"/>
  <c r="C38" i="23"/>
  <c r="C37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0" i="23"/>
  <c r="C9" i="23"/>
  <c r="C8" i="23"/>
  <c r="C209" i="13"/>
  <c r="C208" i="13"/>
  <c r="C207" i="13"/>
  <c r="C206" i="13"/>
  <c r="C205" i="13"/>
  <c r="C204" i="13"/>
  <c r="C203" i="13"/>
  <c r="C202" i="13"/>
  <c r="C201" i="13"/>
  <c r="C200" i="13"/>
  <c r="C199" i="13"/>
  <c r="C198" i="13"/>
  <c r="C197" i="13"/>
  <c r="C196" i="13"/>
  <c r="C195" i="13"/>
  <c r="C194" i="13"/>
  <c r="C193" i="13"/>
  <c r="C192" i="13"/>
  <c r="C191" i="13"/>
  <c r="C190" i="13"/>
  <c r="C189" i="13"/>
  <c r="C188" i="13"/>
  <c r="C187" i="13"/>
  <c r="C186" i="13"/>
  <c r="C185" i="13"/>
  <c r="C184" i="13"/>
  <c r="C183" i="13"/>
  <c r="C182" i="13"/>
  <c r="C181" i="13"/>
  <c r="C180" i="13"/>
  <c r="C179" i="13"/>
  <c r="C178" i="13"/>
  <c r="C177" i="13"/>
  <c r="C176" i="13"/>
  <c r="C175" i="13"/>
  <c r="C174" i="13"/>
  <c r="C173" i="13"/>
  <c r="C172" i="13"/>
  <c r="C171" i="13"/>
  <c r="C170" i="13"/>
  <c r="C169" i="13"/>
  <c r="C168" i="13"/>
  <c r="C167" i="13"/>
  <c r="C166" i="13"/>
  <c r="C165" i="13"/>
  <c r="C164" i="13"/>
  <c r="C163" i="13"/>
  <c r="C162" i="13"/>
  <c r="C161" i="13"/>
  <c r="C152" i="13"/>
  <c r="C151" i="13"/>
  <c r="C150" i="13"/>
  <c r="C149" i="13"/>
  <c r="C148" i="13"/>
  <c r="C147" i="13"/>
  <c r="C146" i="13"/>
  <c r="C145" i="13"/>
  <c r="C144" i="13"/>
  <c r="C143" i="13"/>
  <c r="C142" i="13"/>
  <c r="C141" i="13"/>
  <c r="C140" i="13"/>
  <c r="C139" i="13"/>
  <c r="C138" i="13"/>
  <c r="C137" i="13"/>
  <c r="C136" i="13"/>
  <c r="C135" i="13"/>
  <c r="C134" i="13"/>
  <c r="C133" i="13"/>
  <c r="C132" i="13"/>
  <c r="C131" i="13"/>
  <c r="C130" i="13"/>
  <c r="C129" i="13"/>
  <c r="C128" i="13"/>
  <c r="C127" i="13"/>
  <c r="C126" i="13"/>
  <c r="C125" i="13"/>
  <c r="C124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470" i="19" l="1"/>
  <c r="C469" i="19"/>
  <c r="C468" i="19"/>
  <c r="C467" i="19"/>
  <c r="C466" i="19"/>
  <c r="C465" i="19"/>
  <c r="C464" i="19"/>
  <c r="C463" i="19"/>
  <c r="C462" i="19"/>
  <c r="C461" i="19"/>
  <c r="C460" i="19"/>
  <c r="C459" i="19"/>
  <c r="C458" i="19"/>
  <c r="C457" i="19"/>
  <c r="C456" i="19"/>
  <c r="C455" i="19"/>
  <c r="C454" i="19"/>
  <c r="C453" i="19"/>
  <c r="C452" i="19"/>
  <c r="C451" i="19"/>
  <c r="C450" i="19"/>
  <c r="C449" i="19"/>
  <c r="C448" i="19"/>
  <c r="C447" i="19"/>
  <c r="C446" i="19"/>
  <c r="C445" i="19"/>
  <c r="C444" i="19"/>
  <c r="C443" i="19"/>
  <c r="C442" i="19"/>
  <c r="C441" i="19"/>
  <c r="C440" i="19"/>
  <c r="C439" i="19"/>
  <c r="C438" i="19"/>
  <c r="C437" i="19"/>
  <c r="C436" i="19"/>
  <c r="C435" i="19"/>
  <c r="C434" i="19"/>
  <c r="C433" i="19"/>
  <c r="C432" i="19"/>
  <c r="C431" i="19"/>
  <c r="C430" i="19"/>
  <c r="C429" i="19"/>
  <c r="C428" i="19"/>
  <c r="C427" i="19"/>
  <c r="C426" i="19"/>
  <c r="C425" i="19"/>
  <c r="C416" i="19"/>
  <c r="C415" i="19"/>
  <c r="C414" i="19"/>
  <c r="C413" i="19"/>
  <c r="C412" i="19"/>
  <c r="C411" i="19"/>
  <c r="C410" i="19"/>
  <c r="C409" i="19"/>
  <c r="C408" i="19"/>
  <c r="C407" i="19"/>
  <c r="C406" i="19"/>
  <c r="C405" i="19"/>
  <c r="C404" i="19"/>
  <c r="C403" i="19"/>
  <c r="C402" i="19"/>
  <c r="C401" i="19"/>
  <c r="C400" i="19"/>
  <c r="C399" i="19"/>
  <c r="C398" i="19"/>
  <c r="C397" i="19"/>
  <c r="C396" i="19"/>
  <c r="C395" i="19"/>
  <c r="C394" i="19"/>
  <c r="C393" i="19"/>
  <c r="C392" i="19"/>
  <c r="C391" i="19"/>
  <c r="C390" i="19"/>
  <c r="C389" i="19"/>
  <c r="C388" i="19"/>
  <c r="C387" i="19"/>
  <c r="C386" i="19"/>
  <c r="C385" i="19"/>
  <c r="C384" i="19"/>
  <c r="C383" i="19"/>
  <c r="C382" i="19"/>
  <c r="C381" i="19"/>
  <c r="C380" i="19"/>
  <c r="C379" i="19"/>
  <c r="C378" i="19"/>
  <c r="C377" i="19"/>
  <c r="C376" i="19"/>
  <c r="C375" i="19"/>
  <c r="C374" i="19"/>
  <c r="C373" i="19"/>
  <c r="C364" i="19"/>
  <c r="C363" i="19"/>
  <c r="C362" i="19"/>
  <c r="C361" i="19"/>
  <c r="C360" i="19"/>
  <c r="C359" i="19"/>
  <c r="C358" i="19"/>
  <c r="C357" i="19"/>
  <c r="C356" i="19"/>
  <c r="C355" i="19"/>
  <c r="C354" i="19"/>
  <c r="C353" i="19"/>
  <c r="C352" i="19"/>
  <c r="C351" i="19"/>
  <c r="C350" i="19"/>
  <c r="C349" i="19"/>
  <c r="C348" i="19"/>
  <c r="C347" i="19"/>
  <c r="C346" i="19"/>
  <c r="C345" i="19"/>
  <c r="C344" i="19"/>
  <c r="C343" i="19"/>
  <c r="C334" i="19"/>
  <c r="C333" i="19"/>
  <c r="C332" i="19"/>
  <c r="C331" i="19"/>
  <c r="C330" i="19"/>
  <c r="C329" i="19"/>
  <c r="C328" i="19"/>
  <c r="C327" i="19"/>
  <c r="C326" i="19"/>
  <c r="C325" i="19"/>
  <c r="C324" i="19"/>
  <c r="C323" i="19"/>
  <c r="C322" i="19"/>
  <c r="C321" i="19"/>
  <c r="C320" i="19"/>
  <c r="C319" i="19"/>
  <c r="C318" i="19"/>
  <c r="C317" i="19"/>
  <c r="C316" i="19"/>
  <c r="C315" i="19"/>
  <c r="C314" i="19"/>
  <c r="C313" i="19"/>
  <c r="C312" i="19"/>
  <c r="C311" i="19"/>
  <c r="C310" i="19"/>
  <c r="C309" i="19"/>
  <c r="C308" i="19"/>
  <c r="C307" i="19"/>
  <c r="C306" i="19"/>
  <c r="C305" i="19"/>
  <c r="C304" i="19"/>
  <c r="C303" i="19"/>
  <c r="C302" i="19"/>
  <c r="C301" i="19"/>
  <c r="C300" i="19"/>
  <c r="C299" i="19"/>
  <c r="C298" i="19"/>
  <c r="C297" i="19"/>
  <c r="C296" i="19"/>
  <c r="C295" i="19"/>
  <c r="C294" i="19"/>
  <c r="C293" i="19"/>
  <c r="C292" i="19"/>
  <c r="C291" i="19"/>
  <c r="C290" i="19"/>
  <c r="C289" i="19"/>
  <c r="C288" i="19"/>
  <c r="C287" i="19"/>
  <c r="C286" i="19"/>
  <c r="C285" i="19"/>
  <c r="C284" i="19"/>
  <c r="C283" i="19"/>
  <c r="C282" i="19"/>
  <c r="C281" i="19"/>
  <c r="C272" i="19"/>
  <c r="C271" i="19"/>
  <c r="C270" i="19"/>
  <c r="C269" i="19"/>
  <c r="C268" i="19"/>
  <c r="C267" i="19"/>
  <c r="C266" i="19"/>
  <c r="C265" i="19"/>
  <c r="C264" i="19"/>
  <c r="C263" i="19"/>
  <c r="C262" i="19"/>
  <c r="C261" i="19"/>
  <c r="C260" i="19"/>
  <c r="C259" i="19"/>
  <c r="C258" i="19"/>
  <c r="C257" i="19"/>
  <c r="C256" i="19"/>
  <c r="C255" i="19"/>
  <c r="C254" i="19"/>
  <c r="C253" i="19"/>
  <c r="C252" i="19"/>
  <c r="C251" i="19"/>
  <c r="C250" i="19"/>
  <c r="C249" i="19"/>
  <c r="C248" i="19"/>
  <c r="C247" i="19"/>
  <c r="C246" i="19"/>
  <c r="C245" i="19"/>
  <c r="C244" i="19"/>
  <c r="C243" i="19"/>
  <c r="C242" i="19"/>
  <c r="C241" i="19"/>
  <c r="C240" i="19"/>
  <c r="C239" i="19"/>
  <c r="C238" i="19"/>
  <c r="C237" i="19"/>
  <c r="C236" i="19"/>
  <c r="L420" i="19" l="1"/>
  <c r="L368" i="19"/>
  <c r="L338" i="19"/>
  <c r="L231" i="19"/>
  <c r="L276" i="19"/>
  <c r="L167" i="19"/>
  <c r="L79" i="19"/>
  <c r="L3" i="19"/>
</calcChain>
</file>

<file path=xl/sharedStrings.xml><?xml version="1.0" encoding="utf-8"?>
<sst xmlns="http://schemas.openxmlformats.org/spreadsheetml/2006/main" count="8554" uniqueCount="2030">
  <si>
    <t>Rb</t>
  </si>
  <si>
    <t>Predmet Okvirnog 
sporazuma</t>
  </si>
  <si>
    <t>Iznos Okvirnog sporazuma 
(kn, bez PDV-a)</t>
  </si>
  <si>
    <t>Evid. broj 
nabave / broj OS</t>
  </si>
  <si>
    <t>Datum sklapanja 
OS</t>
  </si>
  <si>
    <t>Razdoblje na 
koje je OS 
sklopljen</t>
  </si>
  <si>
    <t>Oznaka ugovora / narudžbenice</t>
  </si>
  <si>
    <t>Naziv korisnika</t>
  </si>
  <si>
    <t>Datum sklapanja</t>
  </si>
  <si>
    <t>Konačan datum isporuke robe/pružanja usluge</t>
  </si>
  <si>
    <t>Obrazloženje za plaćanje više od ugovorenog / napomena</t>
  </si>
  <si>
    <t>OKVIRNI SPORAZUM - Gorivo</t>
  </si>
  <si>
    <t>UGOVORI/NARUDŽBENICE NA TEMELJU OKVIRNOG SPORAZUMA</t>
  </si>
  <si>
    <t>OKVIRNI SPORAZUM - Potrošni materijal</t>
  </si>
  <si>
    <t>Potrošni materijal - grupa 1.</t>
  </si>
  <si>
    <t>otvoreni</t>
  </si>
  <si>
    <t>MINISTARSTVO UPRAVE</t>
  </si>
  <si>
    <t>MINISTARSTVO PRAVOSUĐA</t>
  </si>
  <si>
    <t>MINISTARSTVO OBRANE</t>
  </si>
  <si>
    <t>Potrošni materijal - grupa 2.</t>
  </si>
  <si>
    <t>Potrošni materijal - grupa 3.</t>
  </si>
  <si>
    <t>OKVIRNI SPORAZUM - Usluge čišćenja prostorija</t>
  </si>
  <si>
    <t>Usluge čišćenja prostorija</t>
  </si>
  <si>
    <t>7/2015-AS</t>
  </si>
  <si>
    <t>OKVIRNI SPORAZUM - Licence</t>
  </si>
  <si>
    <t>1/2015.</t>
  </si>
  <si>
    <t>Licence za korištenje 
Oracleovih softverskih 
proizvoda i usluga</t>
  </si>
  <si>
    <t>1/2014.</t>
  </si>
  <si>
    <t>Licence za korištenje antivirusne, antispam i slične programske opreme</t>
  </si>
  <si>
    <t>15.07.2014.</t>
  </si>
  <si>
    <t>3 godine</t>
  </si>
  <si>
    <t>13/2013-1</t>
  </si>
  <si>
    <t>13/2013-2</t>
  </si>
  <si>
    <t>13/2013-3</t>
  </si>
  <si>
    <t>13/2013-4</t>
  </si>
  <si>
    <t>13/2013-5</t>
  </si>
  <si>
    <t>13/2013-6</t>
  </si>
  <si>
    <t>13/2013-7</t>
  </si>
  <si>
    <t>13/2013-8</t>
  </si>
  <si>
    <t>13/2013-9</t>
  </si>
  <si>
    <t>OKVIRNI SPORAZUM - Računala i računalna oprema</t>
  </si>
  <si>
    <t>OKVIRNI SPORAZUM - Uredski materijal</t>
  </si>
  <si>
    <t>OKVIRNI SPORAZUM - Poštanske usluge</t>
  </si>
  <si>
    <t>OKVIRNI SPORAZUM - Usluge osiguranja</t>
  </si>
  <si>
    <t>4/2015.</t>
  </si>
  <si>
    <t>OKVIRNI SPORAZUM - Motorna vozila</t>
  </si>
  <si>
    <t>14/2013.</t>
  </si>
  <si>
    <t>2/2013-1</t>
  </si>
  <si>
    <t>2/2013-2</t>
  </si>
  <si>
    <t>2/2013-5</t>
  </si>
  <si>
    <t>2/2013-6</t>
  </si>
  <si>
    <t>2 godine</t>
  </si>
  <si>
    <t>Uredski materijal</t>
  </si>
  <si>
    <t>Toneri i tinte</t>
  </si>
  <si>
    <t>Elektroničke komunikacijske usluge u pokretnoj mreži i oprema</t>
  </si>
  <si>
    <t>Nabava motornih vozila putem operativnog leasinga s ostatkom vrijednosti</t>
  </si>
  <si>
    <t>6 mjeseci</t>
  </si>
  <si>
    <t>1 godina</t>
  </si>
  <si>
    <t>Autogume i hoteli</t>
  </si>
  <si>
    <t>4 godine</t>
  </si>
  <si>
    <t>Opskrba električnom energijom</t>
  </si>
  <si>
    <t>Nabava poštanskih usluga</t>
  </si>
  <si>
    <t>Kolektivno osiguranje</t>
  </si>
  <si>
    <t>Usluge obveznog osiguranja od automobilske odgovornosti i kasko osiguranja</t>
  </si>
  <si>
    <t xml:space="preserve">otvoreni </t>
  </si>
  <si>
    <t xml:space="preserve">2015/S 002-0005852 </t>
  </si>
  <si>
    <t>2015/S 002-0020752</t>
  </si>
  <si>
    <t>2015/S 002-0026145</t>
  </si>
  <si>
    <t>2013/S 002-0023595</t>
  </si>
  <si>
    <t>2013/S 002-0098575</t>
  </si>
  <si>
    <t>2013/S 002-0101704</t>
  </si>
  <si>
    <t>2014/S 002-007733</t>
  </si>
  <si>
    <t>8/2015-1</t>
  </si>
  <si>
    <t>8/2015-2</t>
  </si>
  <si>
    <t>14/2015-1</t>
  </si>
  <si>
    <t>14/2015-2</t>
  </si>
  <si>
    <t>14/2015-3</t>
  </si>
  <si>
    <t>14/2015-4</t>
  </si>
  <si>
    <t>14/2015-5</t>
  </si>
  <si>
    <t>14/2015-6</t>
  </si>
  <si>
    <t>13/2015-1</t>
  </si>
  <si>
    <t>13/2015-2</t>
  </si>
  <si>
    <t>13/2015-3</t>
  </si>
  <si>
    <t>13/2015-4</t>
  </si>
  <si>
    <t>Licence za korištenje Microsoftovih softverskih proizvoda i usluga</t>
  </si>
  <si>
    <t>1/2016.</t>
  </si>
  <si>
    <t>9/2015-A</t>
  </si>
  <si>
    <t>9/2015-B</t>
  </si>
  <si>
    <t>OKVIRNI SPORAZUM - Usluge ispisa</t>
  </si>
  <si>
    <t xml:space="preserve">Usluge najma uređaja i upravljanja ispisom </t>
  </si>
  <si>
    <t>16/2015-1</t>
  </si>
  <si>
    <t>16/2015-2</t>
  </si>
  <si>
    <t>16/2015-3</t>
  </si>
  <si>
    <t>16/2015-4</t>
  </si>
  <si>
    <t>15/2015</t>
  </si>
  <si>
    <t>12/2015.</t>
  </si>
  <si>
    <t>11/2015.</t>
  </si>
  <si>
    <t>MINISTARSTVO ZA DEMOGRAFIJU, OBITELJ, MLADE I SOCIJALNU POLITIKU</t>
  </si>
  <si>
    <t>2015/S 002-0027365</t>
  </si>
  <si>
    <t>2015/S 002-0035216</t>
  </si>
  <si>
    <t>2015/S 002-0034425</t>
  </si>
  <si>
    <t>2015/S 002-0030247</t>
  </si>
  <si>
    <t>2016/S 002-0013639</t>
  </si>
  <si>
    <t>2015/S 002-0028248</t>
  </si>
  <si>
    <t>2015/S 002-0039192</t>
  </si>
  <si>
    <t>2015/S 002-0037956</t>
  </si>
  <si>
    <t>2015/S 002-0032369</t>
  </si>
  <si>
    <t>10/2015-1</t>
  </si>
  <si>
    <t>10/2015-2</t>
  </si>
  <si>
    <t>10/2015-3</t>
  </si>
  <si>
    <t>10/2015-4</t>
  </si>
  <si>
    <t>10/2015-5</t>
  </si>
  <si>
    <t>10/2015-6</t>
  </si>
  <si>
    <t>5/2016-1</t>
  </si>
  <si>
    <t>5/2016-2</t>
  </si>
  <si>
    <t>Gorivo - dostava na lokacije</t>
  </si>
  <si>
    <t>3/2016-I</t>
  </si>
  <si>
    <t>3/2016-P</t>
  </si>
  <si>
    <t>3/2016-C</t>
  </si>
  <si>
    <t>8/2016-I</t>
  </si>
  <si>
    <t>1/2017-1</t>
  </si>
  <si>
    <t>1/2017-2</t>
  </si>
  <si>
    <t>1/2017-3</t>
  </si>
  <si>
    <t>1/2017-4</t>
  </si>
  <si>
    <t>1/2017-5</t>
  </si>
  <si>
    <t>1/2017-6</t>
  </si>
  <si>
    <t>1/2017-7</t>
  </si>
  <si>
    <t>1/2017-8</t>
  </si>
  <si>
    <t>03.08.2017.</t>
  </si>
  <si>
    <t>Računala i računalna oprema - osobna računala i monitori</t>
  </si>
  <si>
    <t>Opskrba prirodnim plinom</t>
  </si>
  <si>
    <t>7/2016-M</t>
  </si>
  <si>
    <t>7/2016-T</t>
  </si>
  <si>
    <t>7/2016-H</t>
  </si>
  <si>
    <t>7/2016-DA</t>
  </si>
  <si>
    <t>7/2016-DU</t>
  </si>
  <si>
    <t>7/2017-2</t>
  </si>
  <si>
    <t>7/2017-1</t>
  </si>
  <si>
    <t>2/2016-AS</t>
  </si>
  <si>
    <t>2/2016-AT</t>
  </si>
  <si>
    <t>2/2016-F</t>
  </si>
  <si>
    <t>2/2016-KST</t>
  </si>
  <si>
    <t>Zaštitarske usluge</t>
  </si>
  <si>
    <t>4/2016-1</t>
  </si>
  <si>
    <t>ograničeni</t>
  </si>
  <si>
    <t>4/2016-5</t>
  </si>
  <si>
    <t>4/2016-4</t>
  </si>
  <si>
    <t>4/2016-3</t>
  </si>
  <si>
    <t>4/2016-2</t>
  </si>
  <si>
    <t>2017/S OF2-0008421</t>
  </si>
  <si>
    <t>2017-S OF2-0013923</t>
  </si>
  <si>
    <t>2016/S 002-0029867</t>
  </si>
  <si>
    <t>2016/S 002-0023093</t>
  </si>
  <si>
    <t>2016/S 002-0030149</t>
  </si>
  <si>
    <t>2016/S 002-0018442</t>
  </si>
  <si>
    <t>21.12.2016.</t>
  </si>
  <si>
    <t>16.12.2016.</t>
  </si>
  <si>
    <t>19.12.2016.</t>
  </si>
  <si>
    <t>2016/S 002-0026675</t>
  </si>
  <si>
    <t>29.09.2017.</t>
  </si>
  <si>
    <t>16.02.2017.</t>
  </si>
  <si>
    <t>15.02.2017.</t>
  </si>
  <si>
    <t>24.04.2017.</t>
  </si>
  <si>
    <t>10.07.2017.</t>
  </si>
  <si>
    <t>2016/S 002-0029030</t>
  </si>
  <si>
    <t>2015/S 002-0028941</t>
  </si>
  <si>
    <t>Broj objave iz EOJN</t>
  </si>
  <si>
    <t>Vrsta postupka</t>
  </si>
  <si>
    <t>Razdoblje na koji je sklopljen</t>
  </si>
  <si>
    <t>Datum kada je OS izvršen u cjelosti</t>
  </si>
  <si>
    <t>CPV oznaka</t>
  </si>
  <si>
    <t>Naziv i OIB ugovaratelja</t>
  </si>
  <si>
    <t>Iznos PDV-a</t>
  </si>
  <si>
    <t>Iznos Okvirnog sporazuma 
(kn, sa PDV-om)</t>
  </si>
  <si>
    <t>Iznos sklopljenog ugovora (kn, bez PDV-a)</t>
  </si>
  <si>
    <t>Iznos sklopljenog ugovora (kn, sa PDV-om)</t>
  </si>
  <si>
    <t>Ukupno isplaćeni iznos (kn, s PDV-om)</t>
  </si>
  <si>
    <t>03.05.2016.</t>
  </si>
  <si>
    <t>Potrošni materijal - grupa 4.</t>
  </si>
  <si>
    <t>OKVIRNI SPORAZUM - Pneumatici za motorna vozila s uslugama zamjene i zbrinjavanja</t>
  </si>
  <si>
    <t>Gorivo - opskrba na benz. post.</t>
  </si>
  <si>
    <t>OKVIRNI SPORAZUM - Opskrba prirodnim plinom</t>
  </si>
  <si>
    <t>OKVIRNI SPORAZUM - Elektroničke komunikacijske usluge u pokretnoj mreži i oprema</t>
  </si>
  <si>
    <t>OKVIRNI SPORAZUM - Zaštitarske usluge</t>
  </si>
  <si>
    <t>30192110-5</t>
  </si>
  <si>
    <t>MINISTARSTVO ZDRAVSTVA</t>
  </si>
  <si>
    <t>MINISTARSTVO KULTURE</t>
  </si>
  <si>
    <t>MINISTARSTVO ZAŠTITE OKOLIŠA I ENERGETIKE</t>
  </si>
  <si>
    <t>SREDIŠNJI DRŽAVNI URED ZA HRVATE IZVAN REPUBLIKE HRVATSKE</t>
  </si>
  <si>
    <t>MINISTARSTVO REGIONALNOGA RAZVOJA I FONDOVA EUROPSKE UNIJE</t>
  </si>
  <si>
    <t>MINISTARSTVO DRŽAVNE IMOVINE</t>
  </si>
  <si>
    <t>MINISTARSTVO FINANCIJA</t>
  </si>
  <si>
    <t>SREDIŠNJI DRŽAVNI URED ZA OBNOVU I STAMBENO ZBRINJAVANJE</t>
  </si>
  <si>
    <t>MINISTARSTVO MORA, PROMETA I INFRASTRUKTURE</t>
  </si>
  <si>
    <t>MINISTARSTVO VANJSKIH I EUROPSKIH POSLOVA</t>
  </si>
  <si>
    <t>MINISTARSTVO UNUTARNJIH POSLOVA</t>
  </si>
  <si>
    <t>MINISTARSTVO GRADITELJSTVA I PROSTORNOG UREĐENJA</t>
  </si>
  <si>
    <t>DRŽAVNA UPRAVA ZA ZAŠTITU I SPAŠAVANJE</t>
  </si>
  <si>
    <t>CARINSKA UPRAVA</t>
  </si>
  <si>
    <t>MINISTARSTVO HRVATSKIH BRANITELJA</t>
  </si>
  <si>
    <t>MINISTARSTVO ZNANOSTI I OBRAZOVANJA</t>
  </si>
  <si>
    <t>URED PREDSJEDNICE REPUBLIKE HRVATSKE</t>
  </si>
  <si>
    <t>DRŽAVNI ZAVOD ZA INTELEKTUALNO VLASNIŠTVO</t>
  </si>
  <si>
    <t>MINISTARSTVO GOSPODARSTVA, PODUZETNIŠTVA I OBRTA</t>
  </si>
  <si>
    <t>DRŽAVNI ZAVOD ZA STATISTIKU</t>
  </si>
  <si>
    <t>MINISTARSTVO RADA I MIROVINSKOG SUSTAVA</t>
  </si>
  <si>
    <t>DRŽAVNI ZAVOD ZA MJERITELJSTVO</t>
  </si>
  <si>
    <t>HRVATSKI SABOR</t>
  </si>
  <si>
    <t>URED ZA OPĆE POSLOVE HRVATSKOG SABORA I VLADE REPUBLIKE HRVATSKE</t>
  </si>
  <si>
    <t>DRŽAVNI HIDROMETEOROLOŠKI ZAVOD</t>
  </si>
  <si>
    <t>POREZNA UPRAVA</t>
  </si>
  <si>
    <t>DRŽAVNI ZAVOD ZA RADIOLOŠKU I NUKLEARNU SIGURNOST</t>
  </si>
  <si>
    <t>MINISTARSTVO TURIZMA</t>
  </si>
  <si>
    <t>8/2015-1-MIZ</t>
  </si>
  <si>
    <t>406-01/16-01/0037</t>
  </si>
  <si>
    <t>802/01-16/01OS-U1</t>
  </si>
  <si>
    <t>145-2017</t>
  </si>
  <si>
    <t>958-1030</t>
  </si>
  <si>
    <t>572/2017</t>
  </si>
  <si>
    <t>837-932</t>
  </si>
  <si>
    <t>SNUG-202-17-057</t>
  </si>
  <si>
    <t>776/2017</t>
  </si>
  <si>
    <t>768/2017</t>
  </si>
  <si>
    <t>MFIN-NARUDŽBENI</t>
  </si>
  <si>
    <t>N-699, 674, 778, 698/2017</t>
  </si>
  <si>
    <t>N-558,779,575,576</t>
  </si>
  <si>
    <t>O-17 (08/2015-1)</t>
  </si>
  <si>
    <t>N-689, 690, 700, 592</t>
  </si>
  <si>
    <t>N-691, 675, 589, 711/2017</t>
  </si>
  <si>
    <t>552-744</t>
  </si>
  <si>
    <t>86-2017</t>
  </si>
  <si>
    <t>35/17</t>
  </si>
  <si>
    <t>OS 08/2015-1</t>
  </si>
  <si>
    <t>SNUG-202-17-044</t>
  </si>
  <si>
    <t>422-482/2017</t>
  </si>
  <si>
    <t>60-2017</t>
  </si>
  <si>
    <t>KLASA 406-09/17-04/62</t>
  </si>
  <si>
    <t>2177/17</t>
  </si>
  <si>
    <t>219/2017/R</t>
  </si>
  <si>
    <t>N 366,292,259,375,331/2017</t>
  </si>
  <si>
    <t>MGPU 8/2015-1_2</t>
  </si>
  <si>
    <t>SNUG-202-17-018</t>
  </si>
  <si>
    <t>N 247,253,257,328/2017</t>
  </si>
  <si>
    <t>08/2015-1 II KVARTAL 2017</t>
  </si>
  <si>
    <t>802/01-16/01OS-U2</t>
  </si>
  <si>
    <t>MFIN-UŽI DIO -NARUDŽ. ZA II KV</t>
  </si>
  <si>
    <t>28-2017</t>
  </si>
  <si>
    <t>519-02-3-1/6-17-26</t>
  </si>
  <si>
    <t>2-SUSJN/17-1</t>
  </si>
  <si>
    <t>N073/2017LR</t>
  </si>
  <si>
    <t>P/14803129</t>
  </si>
  <si>
    <t>8/2015-1_MHB</t>
  </si>
  <si>
    <t>SNUG-202-17-012</t>
  </si>
  <si>
    <t>533-27-16-0016</t>
  </si>
  <si>
    <t>2015/8-1-2017</t>
  </si>
  <si>
    <t>NARUDŽBENICA-MFIN</t>
  </si>
  <si>
    <t>INGPRO-2017-8/2015-1</t>
  </si>
  <si>
    <t>U-3-MV/17</t>
  </si>
  <si>
    <t>030-01/17-04/2</t>
  </si>
  <si>
    <t>19/2017/R</t>
  </si>
  <si>
    <t>8/2015-1-16/127-1</t>
  </si>
  <si>
    <t>NARUDŽBENICE 2017</t>
  </si>
  <si>
    <t>MRMS-UR1-2017</t>
  </si>
  <si>
    <t>UREDSKI MATERIJAL GRUPA 1</t>
  </si>
  <si>
    <t>O-17/</t>
  </si>
  <si>
    <t>4-2017</t>
  </si>
  <si>
    <t>NAR 2017 - UREDSKI 1</t>
  </si>
  <si>
    <t>NAR2017-UREDSKI1</t>
  </si>
  <si>
    <t>02-A-A-0282/16-21</t>
  </si>
  <si>
    <t>21119/2016</t>
  </si>
  <si>
    <t>920-07/16-13/15</t>
  </si>
  <si>
    <t>7/16</t>
  </si>
  <si>
    <t>PU-GRUPA 1 - URBR:16-3</t>
  </si>
  <si>
    <t>4-DUSJN-1</t>
  </si>
  <si>
    <t>8/2015- 1</t>
  </si>
  <si>
    <t>MGPU EV.BR. 8/2015-116</t>
  </si>
  <si>
    <t>2015/8-1-2016</t>
  </si>
  <si>
    <t>P/13976891</t>
  </si>
  <si>
    <t>DRŽAVNA GEODETSKA UPRAVA</t>
  </si>
  <si>
    <t>SREDIŠNJI DRŽAVNI URED ZA RAZVOJ DIGITALNOG DRUŠTVA</t>
  </si>
  <si>
    <t>161-2017</t>
  </si>
  <si>
    <t>560/2017</t>
  </si>
  <si>
    <t>513/2017</t>
  </si>
  <si>
    <t>769-1028</t>
  </si>
  <si>
    <t>SNUG-202-17-058</t>
  </si>
  <si>
    <t>465/2017</t>
  </si>
  <si>
    <t>426/2017</t>
  </si>
  <si>
    <t>MFIN-NARUDŽBE</t>
  </si>
  <si>
    <t>N-705,596/2017</t>
  </si>
  <si>
    <t>N-591, 620, 668, 679</t>
  </si>
  <si>
    <t>519-02-3-1/6-17-27</t>
  </si>
  <si>
    <t>553-745</t>
  </si>
  <si>
    <t>354/2017</t>
  </si>
  <si>
    <t>2-SUSJN/17/2</t>
  </si>
  <si>
    <t>87-2017</t>
  </si>
  <si>
    <t>SNUG-202-17-0045</t>
  </si>
  <si>
    <t>N483,481,479,471</t>
  </si>
  <si>
    <t>N405,398,387</t>
  </si>
  <si>
    <t>N 466,458,442,422</t>
  </si>
  <si>
    <t>2210/17</t>
  </si>
  <si>
    <t>421-481/2017</t>
  </si>
  <si>
    <t>P/15050711</t>
  </si>
  <si>
    <t>KLASA 406-09/17-04/61</t>
  </si>
  <si>
    <t>802/01-16/01OS-2-U2</t>
  </si>
  <si>
    <t>U-11-MV/17</t>
  </si>
  <si>
    <t>220/2017/R</t>
  </si>
  <si>
    <t>406-01716-01/0084</t>
  </si>
  <si>
    <t>MGPU 8/2015-2_2</t>
  </si>
  <si>
    <t>24/17</t>
  </si>
  <si>
    <t>SNUG-202-17-019</t>
  </si>
  <si>
    <t>N248,260,363,254,258,376/2017</t>
  </si>
  <si>
    <t>N290,340,306,321,322/2017</t>
  </si>
  <si>
    <t>N296,384,293,286,327/2017</t>
  </si>
  <si>
    <t>61-2017</t>
  </si>
  <si>
    <t>MFIN-UŽI DIO NAR.ZA II KVARTAL</t>
  </si>
  <si>
    <t>113/2017/R</t>
  </si>
  <si>
    <t>27-2017</t>
  </si>
  <si>
    <t>519-02-3-1/6-17-25</t>
  </si>
  <si>
    <t>SNUG-202-17-013</t>
  </si>
  <si>
    <t>533-27-16-0017</t>
  </si>
  <si>
    <t>N074/2017LR</t>
  </si>
  <si>
    <t>8/2015-2-MHB</t>
  </si>
  <si>
    <t>O-17/0362</t>
  </si>
  <si>
    <t>48/2017/R</t>
  </si>
  <si>
    <t>519-02-3-1/6-17-24</t>
  </si>
  <si>
    <t>N005/2017LR</t>
  </si>
  <si>
    <t>32/2017/R</t>
  </si>
  <si>
    <t>18/2017/R</t>
  </si>
  <si>
    <t>NARUDŽBENICE-MFIN</t>
  </si>
  <si>
    <t>030-01/17-04/1</t>
  </si>
  <si>
    <t>519-02-3-1/4-17-3</t>
  </si>
  <si>
    <t>8/2015-2-17/6-1</t>
  </si>
  <si>
    <t>0172017/R</t>
  </si>
  <si>
    <t>NAR2017 - UREDSKI 2</t>
  </si>
  <si>
    <t>NAR 2017 - UREDSKI 2</t>
  </si>
  <si>
    <t>MRMS-UR2-2017</t>
  </si>
  <si>
    <t>NARUDŽBENICE UREDSKI GRUPA 2</t>
  </si>
  <si>
    <t>N156,160,199,214,188,196/2017</t>
  </si>
  <si>
    <t>N21,22,29,80,81,119/2017</t>
  </si>
  <si>
    <t>N20,62,65,187,192,197,204/17</t>
  </si>
  <si>
    <t>NN-57-42/01-17</t>
  </si>
  <si>
    <t>3-2017</t>
  </si>
  <si>
    <t>28/16</t>
  </si>
  <si>
    <t>02-A-A-0283/16-21</t>
  </si>
  <si>
    <t>28-3-16-1</t>
  </si>
  <si>
    <t>4-DUSJN/16-2</t>
  </si>
  <si>
    <t>P/14204105</t>
  </si>
  <si>
    <t>2015/8-2-2016</t>
  </si>
  <si>
    <t>36604/2016</t>
  </si>
  <si>
    <t>802/01-16/01OS-2-U1</t>
  </si>
  <si>
    <t>U-7-MV/16</t>
  </si>
  <si>
    <t>67/2016.</t>
  </si>
  <si>
    <t>920-07/16-13/16</t>
  </si>
  <si>
    <t>PU-GRUPA 2 - URBR:16-5</t>
  </si>
  <si>
    <t>8/2015-2 UGOVOR</t>
  </si>
  <si>
    <t>406-01/16-01/0084</t>
  </si>
  <si>
    <t>MGPU 8/2015-2</t>
  </si>
  <si>
    <t>8/2015- 2</t>
  </si>
  <si>
    <t>301/2016</t>
  </si>
  <si>
    <t>8-2015-2</t>
  </si>
  <si>
    <t>25.05.0017</t>
  </si>
  <si>
    <t>859-1032</t>
  </si>
  <si>
    <t>SNUG-202-17-059-1</t>
  </si>
  <si>
    <t>698/2017</t>
  </si>
  <si>
    <t>662/2017</t>
  </si>
  <si>
    <t>N-787, 615, 678, 682, 773/2017</t>
  </si>
  <si>
    <t>592/2017</t>
  </si>
  <si>
    <t>SNUG-202-17-0046-1</t>
  </si>
  <si>
    <t>428/2017</t>
  </si>
  <si>
    <t>409/2017</t>
  </si>
  <si>
    <t>396/2017</t>
  </si>
  <si>
    <t>386/2017</t>
  </si>
  <si>
    <t>374/2017</t>
  </si>
  <si>
    <t>216/2017/R</t>
  </si>
  <si>
    <t>344/2017</t>
  </si>
  <si>
    <t>291/2017</t>
  </si>
  <si>
    <t>SNUG-202-17-030-1</t>
  </si>
  <si>
    <t>802/01-16/05OS-1-U2</t>
  </si>
  <si>
    <t>231/2017</t>
  </si>
  <si>
    <t>N289,244,243/2017</t>
  </si>
  <si>
    <t>170/2017</t>
  </si>
  <si>
    <t>159/2017</t>
  </si>
  <si>
    <t>SNUG-202-17-014-1</t>
  </si>
  <si>
    <t>143/2017</t>
  </si>
  <si>
    <t>U-1-MV/17</t>
  </si>
  <si>
    <t>N059/2017LR</t>
  </si>
  <si>
    <t>KL:406-01/15-01/133 UR.11 MFIN</t>
  </si>
  <si>
    <t>119/2017</t>
  </si>
  <si>
    <t>14/2015-1-MHB</t>
  </si>
  <si>
    <t>78/2017</t>
  </si>
  <si>
    <t>72-2017</t>
  </si>
  <si>
    <t>519-02-3/1-17-19</t>
  </si>
  <si>
    <t>406-01/16-01/63</t>
  </si>
  <si>
    <t>14/2015-1 UGOVOR</t>
  </si>
  <si>
    <t>12/2017</t>
  </si>
  <si>
    <t>45-4-16-4</t>
  </si>
  <si>
    <t>14-DUSJN/16-1</t>
  </si>
  <si>
    <t>NARUDŽBENICE HP 2017.</t>
  </si>
  <si>
    <t>78109-1/2016</t>
  </si>
  <si>
    <t>MRMS-HP-2017</t>
  </si>
  <si>
    <t>NARUDŽBENICA TONERI GR. 1</t>
  </si>
  <si>
    <t>NARUDŽBENICE TONERI GRUPA  1</t>
  </si>
  <si>
    <t>NAR 2017 - HP</t>
  </si>
  <si>
    <t>NAR2017 - TONERI-1</t>
  </si>
  <si>
    <t>N25,26,69,179,207/2017</t>
  </si>
  <si>
    <t>P/14676418</t>
  </si>
  <si>
    <t>189/2016</t>
  </si>
  <si>
    <t>706/2016</t>
  </si>
  <si>
    <t>802/01-16/05OS-1-U1</t>
  </si>
  <si>
    <t>GRUPA 1 - URBR:16-13</t>
  </si>
  <si>
    <t>NARODNE NOVINE- HP-TONERI</t>
  </si>
  <si>
    <t>406-01/16-01/0191</t>
  </si>
  <si>
    <t>MGPU 14/2015-1</t>
  </si>
  <si>
    <t>14/2015-1-HP</t>
  </si>
  <si>
    <t>14-2015-1</t>
  </si>
  <si>
    <t>NARUDŽBENICA 1137/17</t>
  </si>
  <si>
    <t>551/2017</t>
  </si>
  <si>
    <t>SNUG-202-17-062</t>
  </si>
  <si>
    <t>MFIN-NARUDŽBENICE</t>
  </si>
  <si>
    <t>148-2017</t>
  </si>
  <si>
    <t>414/2017</t>
  </si>
  <si>
    <t>SNUG-202-17-036</t>
  </si>
  <si>
    <t>341/2017</t>
  </si>
  <si>
    <t>80-2017</t>
  </si>
  <si>
    <t>MFIN.NARUDŽBENICE</t>
  </si>
  <si>
    <t>NARUDŽBENICE PM 2017.</t>
  </si>
  <si>
    <t>252/2017</t>
  </si>
  <si>
    <t>14/17</t>
  </si>
  <si>
    <t>44-2017</t>
  </si>
  <si>
    <t>N-451,561,595/2017.</t>
  </si>
  <si>
    <t>P/14994336</t>
  </si>
  <si>
    <t>801/01-16/02OS-1-U2</t>
  </si>
  <si>
    <t>MGPU 13/2015-1_2</t>
  </si>
  <si>
    <t>151/2017/R</t>
  </si>
  <si>
    <t>406-01/16-01/0060</t>
  </si>
  <si>
    <t>11-2017</t>
  </si>
  <si>
    <t>MFIN-UŽI DIO NAR.II KVARTAL</t>
  </si>
  <si>
    <t>13/2015-1/2017</t>
  </si>
  <si>
    <t>13/2015-1_MBH</t>
  </si>
  <si>
    <t>533-27-16-0014</t>
  </si>
  <si>
    <t>SNUG-202-17-001</t>
  </si>
  <si>
    <t>38/2017/R</t>
  </si>
  <si>
    <t>NARUDŽBENICE G1 2017.</t>
  </si>
  <si>
    <t>30-2017</t>
  </si>
  <si>
    <t>NARUDŽBENICE-.MFIN</t>
  </si>
  <si>
    <t>MRMS-POTR1-2017</t>
  </si>
  <si>
    <t>NARUDŽBENICE POTROŠNI GRUPA 1</t>
  </si>
  <si>
    <t>13/2015-16/124-1</t>
  </si>
  <si>
    <t>NAR2017-POTROŠNI 1</t>
  </si>
  <si>
    <t>72/2016</t>
  </si>
  <si>
    <t>920-07/16-13/13/GR1</t>
  </si>
  <si>
    <t>10-5-16-1</t>
  </si>
  <si>
    <t>PU - GRUPA 1</t>
  </si>
  <si>
    <t>P/14076913</t>
  </si>
  <si>
    <t>1-DUSJN/16-1</t>
  </si>
  <si>
    <t>U034/16</t>
  </si>
  <si>
    <t>MGPU 13/2015-1</t>
  </si>
  <si>
    <t>13/2015-1 UGOVOR</t>
  </si>
  <si>
    <t>802/01-16/02OS-1-U1</t>
  </si>
  <si>
    <t>17/16</t>
  </si>
  <si>
    <t>26-2016</t>
  </si>
  <si>
    <t>13/2015-1/2016</t>
  </si>
  <si>
    <t>13/2015- 1</t>
  </si>
  <si>
    <t>13-2015-1</t>
  </si>
  <si>
    <t>SNUG-202-17-033</t>
  </si>
  <si>
    <t>MINISTARSTVO PODUZETNIŠTVA I OBRTA</t>
  </si>
  <si>
    <t>MINISTARSTVO POLJOPRIVREDE</t>
  </si>
  <si>
    <t>SREDIŠNJI REGISTAR OSIGURANIKA</t>
  </si>
  <si>
    <t>ZAVOD ZA VJEŠTAČENJE, PROFESIONALNU REHABILITACIJU I ZAPOŠLJAVANJE OSOBA S INVALIDITETOM</t>
  </si>
  <si>
    <t>HRVATSKI ZAVOD ZA ZDRAVSTVENO OSIGURANJE</t>
  </si>
  <si>
    <t>AGENCIJA ZA ISTRAŽIVANJE NESREĆA U ZRAČNOM, POMORSKOM I ŽELJEZNIČKOM PROMETU</t>
  </si>
  <si>
    <t>Iznos sklopljenog ugovora (bez PDV-a)</t>
  </si>
  <si>
    <t>Iznos sklopljenog ugovora (sa PDV-om)</t>
  </si>
  <si>
    <t>DRŽAVNI ARHIV U ZADRU</t>
  </si>
  <si>
    <t>KAZNIONICA U VALTURI</t>
  </si>
  <si>
    <t>SVEUČILIŠTE U SPLITU - KEMIJSKO-TEHNOLOŠKI FAKULTET</t>
  </si>
  <si>
    <t>URED DRŽAVNE UPRAVE U SPLITSKO-DALMATINSKOJ ŽUPANIJI</t>
  </si>
  <si>
    <t>SVEUČILIŠTE U RIJECI - POMORSKI FAKULTET</t>
  </si>
  <si>
    <t>DRŽAVNI ARHIV U SISKU</t>
  </si>
  <si>
    <t>PREKRŠAJNI SUD U ZADRU</t>
  </si>
  <si>
    <t>VELEUČILIŠTE U RIJECI</t>
  </si>
  <si>
    <t>HRVATSKI ZAVOD ZA TRANSFUZIJSKU MEDICINU</t>
  </si>
  <si>
    <t>OPĆINSKI GRAĐANSKI SUD U ZAGREBU</t>
  </si>
  <si>
    <t>SVEUČILIŠTE U SPLITU - UMJETNIČKA AKADEMIJA</t>
  </si>
  <si>
    <t>SVEUČILIŠTE U SPLITU - KATOLIČKI BOGOSLOVNI FAKULTET</t>
  </si>
  <si>
    <t>SVEUČILIŠTE U RIJECI - FAKULTET ZA MENADŽMENT U TURIZMU I UGOSTITELJSTVU</t>
  </si>
  <si>
    <t>INSTITUT ZA JADRANSKE KULTURE I MELIORACIJU KRŠA</t>
  </si>
  <si>
    <t>SVEUČILIŠTE U SPLITU - KINEZIOLOŠKI FAKULTET</t>
  </si>
  <si>
    <t>SVEUČILIŠTE U ZAGREBU - PRIRODOSLOVNO-MATEMATIČKI FAKULTET</t>
  </si>
  <si>
    <t>VELEUČILIŠTE U POŽEGI</t>
  </si>
  <si>
    <t>KAZNIONICA U GLINI</t>
  </si>
  <si>
    <t>HRVATSKI ŠUMARSKI INSTITUT</t>
  </si>
  <si>
    <t>NACIONALNI PARK RISNJAK</t>
  </si>
  <si>
    <t>URED DRŽAVNE UPRAVE U ŠIBENSKO-KNINSKOJ ŽUPANIJI</t>
  </si>
  <si>
    <t>URED DRŽAVNE UPRAVE U ZADARSKOJ ŽUPANIJI</t>
  </si>
  <si>
    <t>SVEUČILIŠTE U DUBROVNIKU</t>
  </si>
  <si>
    <t>ZATVOR U KARLOVCU</t>
  </si>
  <si>
    <t>ŽUPANIJSKI SUD U ŠIBENIKU</t>
  </si>
  <si>
    <t>ODGOJNI ZAVOD U TUROPOLJU</t>
  </si>
  <si>
    <t>KAZNIONICA U TUROPOLJU</t>
  </si>
  <si>
    <t>SVEUČILIŠTE U RIJECI - SVEUČILIŠNA KNJIŽNICA</t>
  </si>
  <si>
    <t>ZATVOR U GOSPIĆU</t>
  </si>
  <si>
    <t>INSTITUT ZA OCEANOGRAFIJU I RIBARSTVO</t>
  </si>
  <si>
    <t>ZATVOR U PULI</t>
  </si>
  <si>
    <t>SVEUČILIŠTE U ZAGREBU - FAKULTET PROMETNIH ZNANOSTI</t>
  </si>
  <si>
    <t>NACIONALNI PARK PLITVIČKA JEZERA</t>
  </si>
  <si>
    <t>SVEUČILIŠTE J.J STROSSMAYERA U OSIJEKU - FAKULTET ZA ODGOJNE I OBRAZOVNE ZNANOSTI</t>
  </si>
  <si>
    <t>KAZNIONICA I ZATVOR U ŠIBENIKU</t>
  </si>
  <si>
    <t>INSTITUT RUĐER BOŠKOVIĆ</t>
  </si>
  <si>
    <t>PREKRŠAJNI SUD U OSIJEKU</t>
  </si>
  <si>
    <t>ZATVOR U SPLITU</t>
  </si>
  <si>
    <t>SVEUČILIŠTE U SPLITU - POMORSKI FAKULTET</t>
  </si>
  <si>
    <t>OPĆINSKI SUD U VARAŽDINU</t>
  </si>
  <si>
    <t>SVEUČILIŠTE U SPLITU - EKONOMSKI FAKULTET</t>
  </si>
  <si>
    <t>ZATVOR U ZADRU</t>
  </si>
  <si>
    <t>ZATVOR U RIJECI</t>
  </si>
  <si>
    <t>ŽUPANIJSKI SUD U SLAVONSKOM BRODU</t>
  </si>
  <si>
    <t>PARK PRIRODE MEDVEDNICA</t>
  </si>
  <si>
    <t>SVEUČILIŠTE U SPLITU - PRIRODOSLOVNO - MATEMATIČKI FAKULTET</t>
  </si>
  <si>
    <t>SVEUČILIŠTE U ZAGREBU - PREHRAMBENO BIOTEHNOLOŠKI FAKULTET</t>
  </si>
  <si>
    <t>SVEUČILIŠTE U ZAGREBU</t>
  </si>
  <si>
    <t>KAZNIONICA I ZATVOR U POŽEGI</t>
  </si>
  <si>
    <t>SVEUČILIŠTE U RIJECI - MEDICINSKI FAKULTET</t>
  </si>
  <si>
    <t>SVEUČILIŠTE U ZADRU</t>
  </si>
  <si>
    <t>SVEUČILIŠTE U RIJECI - PRAVNI FAKULTET</t>
  </si>
  <si>
    <t>URED DRŽAVNE UPRAVE U ISTARSKOJ ŽUPANIJI</t>
  </si>
  <si>
    <t>OPĆINSKI SUD U VUKOVARU</t>
  </si>
  <si>
    <t>SVEUČILIŠTE U SPLITU - FAKULTET ELEKTROTEHNIKE, STROJARSTVA I BRODOGRADNJE</t>
  </si>
  <si>
    <t>SVEUČILIŠTE U ZAGREBU - UČITELJSKI FAKULTET</t>
  </si>
  <si>
    <t>OPĆINSKI SUD U SISKU</t>
  </si>
  <si>
    <t>PREKRŠAJNI SUD U RIJECI</t>
  </si>
  <si>
    <t>SVEUČILIŠTE JURJA DOBRILE U PULI</t>
  </si>
  <si>
    <t>PARK PRIRODE ŽUMBERAK-SAMOBORSKO GORJE</t>
  </si>
  <si>
    <t>DOM ZA ODGOJ DJECE I MLADEŽI RIJEKA</t>
  </si>
  <si>
    <t>HRVATSKI HIDROGRAFSKI INSTITUT</t>
  </si>
  <si>
    <t>KAZNIONICA U LIPOVICI - POPOVAČA</t>
  </si>
  <si>
    <t>INSTITUT ZA POLJOPRIVREDU I TURIZAM</t>
  </si>
  <si>
    <t>NACIONALNI PARK KRKA</t>
  </si>
  <si>
    <t>POLJOPRIVREDNI INSTITUT OSIJEK</t>
  </si>
  <si>
    <t>OPĆINSKI SUD U RIJECI</t>
  </si>
  <si>
    <t>SVEUČILIŠTE U ZAGREBU - AGRONOMSKI FAKULTET</t>
  </si>
  <si>
    <t>VISOKO GOSPODARSKO UČILIŠTE U KRIŽEVCIMA</t>
  </si>
  <si>
    <t>AGENCIJA ZA VODNE PUTOVE</t>
  </si>
  <si>
    <t>SVEUČILIŠTE U ZAGREBU - GEOTEHNIČKI FAKULTET</t>
  </si>
  <si>
    <t>DOM ZA ODRASLE OSOBE NUŠTAR</t>
  </si>
  <si>
    <t>DOM ZA ODRASLE OSOBE VILA MARIA</t>
  </si>
  <si>
    <t>HRVATSKA AGENCIJA ZA HRANU</t>
  </si>
  <si>
    <t>VELEUČILIŠTE MARKO MARULIĆ U KNINU</t>
  </si>
  <si>
    <t>HRVATSKA AGENCIJA ZA OKOLIŠ I PRIRODU</t>
  </si>
  <si>
    <t>OPĆINSKI SUD U ZADRU</t>
  </si>
  <si>
    <t>OPĆINSKO DRŽAVNO ODVJETNIŠTVO U ŠIBENIKU</t>
  </si>
  <si>
    <t>ARHEOLOŠKI MUZEJ U SPLITU</t>
  </si>
  <si>
    <t>AGENCIJA ZA KVALITETU I AKREDITACIJU U ZDRAVSTVU I SOCIJALNOJ SKRBI</t>
  </si>
  <si>
    <t>ŽUPANIJSKO DRŽAVNO ODVJETNIŠTVO U ŠIBENIKU</t>
  </si>
  <si>
    <t>HRVATSKI VETERINARSKI INSTITUT</t>
  </si>
  <si>
    <t>INSTITUT ZA FIZIKU</t>
  </si>
  <si>
    <t>PARK PRIRODE LONJSKO POLJE</t>
  </si>
  <si>
    <t>URED DRŽAVNE UPRAVE U SISAČKO-MOSLAVAČKOJ ŽUPANIJI</t>
  </si>
  <si>
    <t>UPRAVNI SUD U SPLITU</t>
  </si>
  <si>
    <t>HRVATSKA VATROGASNA ZAJEDNICA</t>
  </si>
  <si>
    <t>MODERNA GALERIJA</t>
  </si>
  <si>
    <t>OPĆINSKI SUD U SPLITU</t>
  </si>
  <si>
    <t>URED DRŽAVNE UPRAVE U OSJEČKO-BARANJSKOJ ŽUPANIJI</t>
  </si>
  <si>
    <t>SVEUČILIŠTE U ZAGREBU - FILOZOFSKI FAKULTET</t>
  </si>
  <si>
    <t>OPĆINSKO DRŽAVNO ODVJETNIŠTVO U VARAŽDINU</t>
  </si>
  <si>
    <t>AGENCIJA ZA PRAVNI PROMET I POSREDOVANJE NEKRETNINAMA</t>
  </si>
  <si>
    <t>AGENCIJA ZA STRUKOVNO OBRAZOVANJE I OBRAZOVANJE ODRASLIH</t>
  </si>
  <si>
    <t>CENTAR ZA SOCIJALNU SKRB SLAVONSKI BROD</t>
  </si>
  <si>
    <t>HRVATSKI CENTAR ZA POLJOPRIVREDU, HRANU I SELO</t>
  </si>
  <si>
    <t>AGENCIJA ZA OBALNI LINIJSKI POMORSKI PROMET</t>
  </si>
  <si>
    <t>HRVATSKA ENERGETSKA REGULATORNA AGENCIJA</t>
  </si>
  <si>
    <t>CENTAR ZA SOCIJALNU SKRB ŠIBENIK</t>
  </si>
  <si>
    <t>CENTAR ZA ODGOJ I OBRAZOVANJE SLAVA RAŠKAJ, SPLIT</t>
  </si>
  <si>
    <t>DJEČJI DOM MASLINA, DUBROVNIK</t>
  </si>
  <si>
    <t>DOM ZA ODRASLE OSOBE JALŽABET</t>
  </si>
  <si>
    <t>CENTAR ZA REHABILITACIJU MIR, KAŠTELA</t>
  </si>
  <si>
    <t>CENTAR ZA ODGOJ I OBRAZOVANJE TUŠKANAC</t>
  </si>
  <si>
    <t>CENTAR ZA PRUŽANJE USLUGA U ZAJEDNICI SPLIT</t>
  </si>
  <si>
    <t>CENTAR ZA SOCIJALNU SKRB BUJE</t>
  </si>
  <si>
    <t>PRAVOBRANITELJICA ZA OSOBE S INVALIDITETOM</t>
  </si>
  <si>
    <t>PARK PRIRODE KOPAČKI RIT</t>
  </si>
  <si>
    <t>ŽUPANIJSKI SUD U KARLOVCU</t>
  </si>
  <si>
    <t>SAVJETODAVNA SLUŽBA</t>
  </si>
  <si>
    <t>ZATVOR U DUBROVNIKU</t>
  </si>
  <si>
    <t>PARK PRIRODE PAPUK</t>
  </si>
  <si>
    <t>HRVATSKA AKREDITACIJSKA AGENCIJA</t>
  </si>
  <si>
    <t>ŽUPANIJSKI SUD U SPLITU</t>
  </si>
  <si>
    <t>HRVATSKI DRŽAVNI ARHIV</t>
  </si>
  <si>
    <t>OPĆINSKO DRŽAVNO ODVJETNIŠTVO U PULI - POLA</t>
  </si>
  <si>
    <t>URED DRŽAVNE UPRAVE U ZAGREBAČKOJ ŽUPANIJI</t>
  </si>
  <si>
    <t>URED DRŽAVNE UPRAVE U BRODSKO-POSAVSKOJ ŽUPANIJI</t>
  </si>
  <si>
    <t>AGENCIJA ZA POLJOPRIVREDNO ZEMLJIŠTE</t>
  </si>
  <si>
    <t>HRVATSKA AKADEMIJA ZNANOSTI I UMJETNOSTI</t>
  </si>
  <si>
    <t>DRŽAVNO ODVJETNIŠTVO RH</t>
  </si>
  <si>
    <t>AGENCIJA ZA OZAKONJENJE NEZAKONITO IZGRAĐENIH ZGRADA</t>
  </si>
  <si>
    <t>SVEUČILIŠTE SJEVER</t>
  </si>
  <si>
    <t>KAZNIONICA U LEPOGLAVI</t>
  </si>
  <si>
    <t>HRVATSKA POLJOPRIVREDNA AGENCIJA</t>
  </si>
  <si>
    <t>URED DRŽAVNE UPRAVE U VIROVITIČKO-PODRAVSKOJ ŽUPANIJI</t>
  </si>
  <si>
    <t>SREDIŠNJA AGENCIJA ZA FINANCIRANJE I UGOVARANJE PROGRAMA I PROJEKATA EU</t>
  </si>
  <si>
    <t>OPĆINSKO DRŽAVNO ODVJETNIŠTVO U ČAKOVCU</t>
  </si>
  <si>
    <t>SVEUČILIŠTE U ZAGREBU - SVEUČILIŠNI RAČUNSKI CENTAR - SRCE</t>
  </si>
  <si>
    <t>PARK PRIRODE VELEBIT</t>
  </si>
  <si>
    <t>NACIONALNI PARK SJEVERNI VELEBIT</t>
  </si>
  <si>
    <t>VISOKI TRGOVAČKI SUD RH</t>
  </si>
  <si>
    <t>NACIONALNI PARK PAKLENICA</t>
  </si>
  <si>
    <t>TRGOVAČKI SUD U BJELOVARU</t>
  </si>
  <si>
    <t>DRŽAVNI ARHIV U OSIJEKU</t>
  </si>
  <si>
    <t>AGENCIJA ZA ODGOJ I OBRAZOVANJE</t>
  </si>
  <si>
    <t>VISOKI PREKRŠAJNII SUD RH</t>
  </si>
  <si>
    <t>MUZEJI IVANA MEŠTROVIĆA</t>
  </si>
  <si>
    <t>VRHOVNI SUD REPUBLIKE HRVATSKE</t>
  </si>
  <si>
    <t>KLINIKA ZA ORTOPEDIJU LOVRAN</t>
  </si>
  <si>
    <t>HRVATSKO NARODNO KAZALIŠTE</t>
  </si>
  <si>
    <t>OPĆINSKO DRŽAVNO ODVJETNIŠTVO U KOPRIVNICI</t>
  </si>
  <si>
    <t>ŽUPANIJSKO DRŽAVNO ODVJETNIŠTVO U VARAŽDINU</t>
  </si>
  <si>
    <t>OPĆINSKI SUD U ZLATARU</t>
  </si>
  <si>
    <t>OPĆINSKO DRŽAVNO ODVJETNIŠTVO U ZLATARU</t>
  </si>
  <si>
    <t>PREKRŠAJNI SUD U ZLATARU</t>
  </si>
  <si>
    <t>PARK PRIRODE BIOKOVO</t>
  </si>
  <si>
    <t>DRŽAVNI ARHIV U BJELOVARU</t>
  </si>
  <si>
    <t>PREKRŠAJNI SUD U SISKU</t>
  </si>
  <si>
    <t>OPĆINSKO DRŽAVNO ODVJETNIŠTVO U SPLITU</t>
  </si>
  <si>
    <t>HRVATSKA AKADEMSKA I ISTRAŽIVAČKA MREŽA - CARNET</t>
  </si>
  <si>
    <t>HRVATSKA KNJIŽNICA ZA SLIJEPE</t>
  </si>
  <si>
    <t>OPĆINSKO DRŽAVNO ODVJETNIŠTVO U RIJECI</t>
  </si>
  <si>
    <t>ŽUPANIJSKO DRŽAVNO ODVJETNIŠTVO U RIJECI</t>
  </si>
  <si>
    <t>TRGOVAČKI SUD U PAZINU</t>
  </si>
  <si>
    <t>INSTITUT ZA MEDICINSKA ISTRAŽIVANJA I MEDICINU RADA</t>
  </si>
  <si>
    <t>OPĆINSKO DRŽAVNO ODVJETNIŠTVO U BJELOVARU</t>
  </si>
  <si>
    <t>ŽUPANIJSKO DRŽAVNO ODVJETNIŠTVO U BJELOVARU</t>
  </si>
  <si>
    <t>SVEUČILIŠTE U ZAGREBU - FAKULTET STROJARSTVA I BRODOGRADNJE</t>
  </si>
  <si>
    <t>DRŽAVNI URED ZA REVIZIJU</t>
  </si>
  <si>
    <t>ODGOJNI ZAVOD U POŽEGI</t>
  </si>
  <si>
    <t>SVEUČILIŠTE J.J STROSSMAYERA U OSIJEKU - MEDICINSKI FAKULTET</t>
  </si>
  <si>
    <t>URED DRŽAVNE UPRAVE U KOPRIVNIČKO-KRIŽEVAČKOJ ŽUPANIJI</t>
  </si>
  <si>
    <t>DRŽAVNA KOMISIJA ZA KONTROLU POSTUPAKA JAVNE NABAVE</t>
  </si>
  <si>
    <t>INSTITUT ZA HRVATSKI JEZIK I JEZIKOSLOVLJE</t>
  </si>
  <si>
    <t>AGENCIJA ZA PLAĆANJA U POLJOPRIVREDI, RIBARSTVU I RURALNOM RAZVOJU</t>
  </si>
  <si>
    <t>ANSAMBL LADO</t>
  </si>
  <si>
    <t>SVEUČILIŠTE J.J.STROSSMAYERA U OSIJEKU - UMJETNIČKA AKADEMIJA</t>
  </si>
  <si>
    <t>PRAVOBRANITELJ ZA DJECU</t>
  </si>
  <si>
    <t>OPĆINSKO DRŽAVNO ODVJETNIŠTVO U VIROVITICI</t>
  </si>
  <si>
    <t>OPĆINSKI SUD U GOSPIĆU</t>
  </si>
  <si>
    <t>ŽUPANIJSKI SUD U SISKU</t>
  </si>
  <si>
    <t>TRGOVAČKI SUD U ZADRU</t>
  </si>
  <si>
    <t>ZDRAVSTVENO VELEUČILIŠTE</t>
  </si>
  <si>
    <t>TRGOVAČKI SUD U OSIJEKU</t>
  </si>
  <si>
    <t>SVEUČILIŠTE U RIJECI</t>
  </si>
  <si>
    <t>OPĆINSKI SUD U PULI - POLA</t>
  </si>
  <si>
    <t>INSTITUT ZA ANTROPOLOGIJU</t>
  </si>
  <si>
    <t>HRVATSKA AGENCIJA ZA OBVEZNE ZALIHE NAFTE I NAFTNIH DERIVATA (HANDA)</t>
  </si>
  <si>
    <t>OPĆINSKI SUD U NOVOM ZAGREBU</t>
  </si>
  <si>
    <t>ZATVOR U VARAŽDINU</t>
  </si>
  <si>
    <t>PREKRŠAJNI SUD U NOVOM ZAGREBU</t>
  </si>
  <si>
    <t>OPĆINSKI SUD U KOPRIVNICI</t>
  </si>
  <si>
    <t>INSTITUT DRUŠTVENIH ZNANOSTI IVO PILAR</t>
  </si>
  <si>
    <t>OPĆINSKO DRŽAVNO ODVJETNIŠTVO U SISKU</t>
  </si>
  <si>
    <t>AGENCIJA ZA MOBILNOST I PROGRAME EUROPSKE UNIJE</t>
  </si>
  <si>
    <t>HRVATSKI GEOLOŠKI INSTITUT</t>
  </si>
  <si>
    <t>PRAVOSUDNA AKADEMIJA</t>
  </si>
  <si>
    <t>OPĆINSKI KAZNENI SUD U ZAGREBU</t>
  </si>
  <si>
    <t>ZATVORSKA BOLNICA U ZAGREBU</t>
  </si>
  <si>
    <t>SVEUČILIŠTE U ZAGREBU - MEDICINSKI FAKULTET</t>
  </si>
  <si>
    <t>VISOKA ŠKOLA ZA MENEDŽMENT U TURIZMU I INFORMATICI</t>
  </si>
  <si>
    <t>DRŽAVNI ARHIV U SLAVONSKOM BRODU</t>
  </si>
  <si>
    <t>SVEUČILIŠTE U ZAGREBU - ŠUMARSKI FAKULTET</t>
  </si>
  <si>
    <t>ZATVOR U BJELOVARU</t>
  </si>
  <si>
    <t>OPĆINSKI SUD U BJELOVARU</t>
  </si>
  <si>
    <t>PREKRŠAJNI SUD U VUKOVARU</t>
  </si>
  <si>
    <t>URED PUČKOG PRAVOBRANITELJA</t>
  </si>
  <si>
    <t>ŽUPANIJSKO DRŽAVNO ODVJETNIŠTVO U VELIKOJ GORICI</t>
  </si>
  <si>
    <t>DRŽAVNI ARHIV U KARLOVCU</t>
  </si>
  <si>
    <t>ŽUPANIJSKO DRŽAVNO ODVJETNIŠTVO U ZAGREBU</t>
  </si>
  <si>
    <t>OPĆINSKI SUD U DUBROVNIKU</t>
  </si>
  <si>
    <t>AGENCIJA ZA INVESTICIJE I KONKURENTNOST</t>
  </si>
  <si>
    <t>ŽUPANIJSKI SUD U BJELOVARU</t>
  </si>
  <si>
    <t>PREKRŠAJNI SUD U BJELOVARU</t>
  </si>
  <si>
    <t>SVEUČILIŠTE J.J STROSSMAYERA U OSIJEKU</t>
  </si>
  <si>
    <t>OPĆINSKO DRŽAVNO ODVJETNIŠTVO U KARLOVCU</t>
  </si>
  <si>
    <t>ŽUPANIJSKI SUD U RIJECI</t>
  </si>
  <si>
    <t>AGENCIJA ZA PROSTORE UGROŽENE EKSPLOZIVNOM ATMOSFEROM</t>
  </si>
  <si>
    <t>OPĆINSKO DRŽAVNO ODVJETNIŠTVO U ZAGREBU</t>
  </si>
  <si>
    <t>HRVATSKI POVIJESNI MUZEJ</t>
  </si>
  <si>
    <t>PARK PRIRODE VRANSKO JEZERO-PAKOŠTANE</t>
  </si>
  <si>
    <t>UPRAVNI SUD U OSIJEKU</t>
  </si>
  <si>
    <t>URED DRŽAVNE UPRAVE U PRIMORSKO-GORANSKOJ ŽUPANIJI</t>
  </si>
  <si>
    <t>TRGOVAČKI SUD U ZAGREBU</t>
  </si>
  <si>
    <t>ŽUPANIJSKI SUD U VARAŽDINU</t>
  </si>
  <si>
    <t>AGENCIJA ZA ZAŠTITU TRŽIŠNOG NATJECANJA</t>
  </si>
  <si>
    <t>ZAVOD ZA UNAPREĐIVANJE ZAŠTITE NA RADU</t>
  </si>
  <si>
    <t>NACIONALNA I SVEUČILIŠNA KNJIŽNICA U ZAGREBU</t>
  </si>
  <si>
    <t>OPĆINSKO DRŽAVNO ODVJETNIŠTVO U VUKOVARU</t>
  </si>
  <si>
    <t>AGENCIJA ZA ZNANOST I VISOKO OBRAZOVANJE</t>
  </si>
  <si>
    <t>URED DRŽAVNE UPRAVE U VUKOVARSKO-SRIJEMSKOJ ŽUPANIJI</t>
  </si>
  <si>
    <t>DRŽAVNI ARHIV ZA MEĐIMURJE</t>
  </si>
  <si>
    <t>OPĆINSKI SUD U VELIKOJ GORICI</t>
  </si>
  <si>
    <t>ŽUPANIJSKI SUD U OSIJEKU</t>
  </si>
  <si>
    <t>OPĆINSKO DRŽAVNO ODVJETNIŠTVO U GOSPIĆU</t>
  </si>
  <si>
    <t>GALERIJA KLOVIĆEVI DVORI</t>
  </si>
  <si>
    <t>HRVATSKI ZAVOD ZA NORME</t>
  </si>
  <si>
    <t>ŽUPANIJSKI SUD U PULI - POLA</t>
  </si>
  <si>
    <t>SVEUČILIŠTE U SPLITU - SVEUČILIŠNA KNJIŽNICA</t>
  </si>
  <si>
    <t>SVEUČILIŠTE U SPLITU</t>
  </si>
  <si>
    <t>SVEUČILIŠTE J.J STROSSMAYERA U OSIJEKU - EKONOMSKI FAKULTET</t>
  </si>
  <si>
    <t>OPĆINSKI SUD U ŠIBENIKU</t>
  </si>
  <si>
    <t>DRŽAVNI ARHIV U VUKOVARU</t>
  </si>
  <si>
    <t>OPĆINSKI SUD U VIROVITICI</t>
  </si>
  <si>
    <t>SVEUČILIŠTE J.J STROSSMAYERA U OSIJEKU - POLJOPRIVREDNI FAKULTET</t>
  </si>
  <si>
    <t>INSTITUT ZA TURIZAM</t>
  </si>
  <si>
    <t>UPRAVNI SUD U ZAGREBU</t>
  </si>
  <si>
    <t>URED DRŽAVNE UPRAVE U BJELOVARSKO-BILOGORSKOJ ŽUPANIJI</t>
  </si>
  <si>
    <t>ŽUPANIJSKO DRŽAVNO ODVJETNIŠTVO U SLAVONSKOM BRODU</t>
  </si>
  <si>
    <t>DRŽAVNI ARHIV U VARAŽDINU</t>
  </si>
  <si>
    <t>TRGOVAČKI SUD U RIJECI</t>
  </si>
  <si>
    <t>ŽUPANIJSKI SUD U DUBROVNIKU</t>
  </si>
  <si>
    <t>OPĆINSKO DRŽAVNO ODVJETNIŠTVO U NOVOM ZAGREBU</t>
  </si>
  <si>
    <t>OPĆINSKI SUD U KARLOVCU</t>
  </si>
  <si>
    <t>OPĆINSKO DRŽAVNO ODVJETNIŠTVO U VELIKOJ GORICI</t>
  </si>
  <si>
    <t>AGENCIJA ZA OSIGURANJE RADNIČKIH TRAŽBINA</t>
  </si>
  <si>
    <t>URED DRŽAVNE UPRAVE U VARAŽDINSKOJ ŽUPANIJI</t>
  </si>
  <si>
    <t>ARHEOLOŠKI MUZEJ ISTRE</t>
  </si>
  <si>
    <t>FOND ZA NAKNADU ODUZETE IMOVINE</t>
  </si>
  <si>
    <t>LEKSIKOGRAFSKI ZAVOD MIROSLAV KRLEŽA</t>
  </si>
  <si>
    <t>ŽUPANIJSKO DRŽAVNO ODVJETNIŠTVO U DUBROVNIKU</t>
  </si>
  <si>
    <t>ŽUPANIJSKI SUD U ZADRU</t>
  </si>
  <si>
    <t>SVEUČILIŠTE J.J.STROSSMAYERA U OSIJEKU - GRADSKA I SVEUČILIŠNA KNJIŽNICA</t>
  </si>
  <si>
    <t>URED DRŽAVNE UPRAVE U DUBROVAČKO-NERETVANSKOJ ŽUPANIJI</t>
  </si>
  <si>
    <t>OPĆINSKI SUD U OSIJEKU</t>
  </si>
  <si>
    <t>HRVATSKI ZAVOD ZA ZAŠTITU ZDRAVLJA I SIGURNOST NA RADU</t>
  </si>
  <si>
    <t>ŽUPANIJSKI SUD U VELIKOJ GORICI</t>
  </si>
  <si>
    <t>DRŽAVNI ARHIV U ZAGREBU</t>
  </si>
  <si>
    <t>OPĆINSKI SUD U SLAVONSKOM BRODU</t>
  </si>
  <si>
    <t>OPĆINSKO DRŽAVNO ODVJETNIŠTVO U OSIJEKU</t>
  </si>
  <si>
    <t>URED DRŽAVNE UPRAVE U POŽEŠKO-SLAVONSKOJ ŽUPANIJI</t>
  </si>
  <si>
    <t>ŽUPANIJSKO DRŽAVNO ODVJETNIŠTVO U PULI - POLA</t>
  </si>
  <si>
    <t>ŽUPANIJSKO DRŽAVNO ODVJETNIŠTVO U SISKU</t>
  </si>
  <si>
    <t>NACIONALNI PARK KORNATI</t>
  </si>
  <si>
    <t>ŽUPANIJSKO DRŽAVNO ODVJETNIŠTVO U OSIJEKU</t>
  </si>
  <si>
    <t>URED DRŽAVNE UPRAVE U KARLOVAČKOJ ŽUPANIJI</t>
  </si>
  <si>
    <t>URED DRŽAVNE UPRAVE U MEĐIMURSKOJ ŽUPANIJI</t>
  </si>
  <si>
    <t>AGENCIJA ZA REVIZIJU SUSTAVA PROVEDBE PROGRAMA EUROPSKE UNIJE</t>
  </si>
  <si>
    <t>URED ZA SUZBIJANJE KORUPCIJE I ORGANIZIRANOG KRIMINALITETA - USKOK</t>
  </si>
  <si>
    <t>VISOKI UPRAVNI SUD REPUBLIKE HRVATSKE</t>
  </si>
  <si>
    <t>DRŽAVNI ARHIV U VIROVITICI</t>
  </si>
  <si>
    <t>PREKRŠAJNI SUD U SPLITU</t>
  </si>
  <si>
    <t>TRGOVAČKI SUD U VARAŽDINU</t>
  </si>
  <si>
    <t>ŽUPANIJSKO DRŽAVNO ODVJETNIŠTVO U KARLOVCU</t>
  </si>
  <si>
    <t>HRVATSKI ZAVOD ZA HITNU MEDICINU</t>
  </si>
  <si>
    <t>OPĆINSKI SUD U POŽEGI</t>
  </si>
  <si>
    <t>SVEUČILIŠTE U ZAGREBU - EKONOMSKI FAKULTET</t>
  </si>
  <si>
    <t>TRGOVAČKI SUD U SPLITU</t>
  </si>
  <si>
    <t>HRVATSKA MATICA ISELJENIKA</t>
  </si>
  <si>
    <t>ŽUPANIJSKO DRŽAVNO ODVJETNIŠTVO U VUKOVARU</t>
  </si>
  <si>
    <t>DOM ZA ODGOJ DJECE I MLADEŽI ZADAR</t>
  </si>
  <si>
    <t>SVEUČILIŠTE J.J STROSSMAYERA U OSIJEKU - GRAĐEVINSKI FAKULTET</t>
  </si>
  <si>
    <t>OPĆINSKI SUD U ČAKOVCU</t>
  </si>
  <si>
    <t>CENTAR ZA SOCIJALNU SKRB VRBOVEC</t>
  </si>
  <si>
    <t>SVEUČILIŠTE U ZAGREBU - MUZIČKA AKADEMIJA</t>
  </si>
  <si>
    <t>TIFLOLOŠKI MUZEJ</t>
  </si>
  <si>
    <t>VELEUČILIŠTE U ŠIBENIKU</t>
  </si>
  <si>
    <t>DJEČJI DOM MAESTRAL SPLIT</t>
  </si>
  <si>
    <t>CENTAR ZA SOCIJALNU SKRB BIOGRAD NA MORU</t>
  </si>
  <si>
    <t>CENTAR ZA SOCIJALNU SKRB ZADAR</t>
  </si>
  <si>
    <t>INSTITUT ZA POVIJEST UMJETNOSTI</t>
  </si>
  <si>
    <t>INSTITUT ZA MIGRACIJE I NARODNOSTI</t>
  </si>
  <si>
    <t>SVEUČILIŠTE U SPLITU - FILOZOFSKI FAKULTET</t>
  </si>
  <si>
    <t>SVEUČILIŠTE U ZAGREBU - FAKULTET POLITIČKIH ZNANOSTI</t>
  </si>
  <si>
    <t>SVEUČILIŠTE U ZAGREBU - FAKULTET KEMIJSKOG INŽENJERSTVA I TEHNOLOGIJE</t>
  </si>
  <si>
    <t>CENTAR ZA ODGOJ I OBRAZOVANJE VINKO BEK, ZAGREB</t>
  </si>
  <si>
    <t>HRVATSKI RESTAURATORSKI ZAVOD</t>
  </si>
  <si>
    <t>MEĐUNARODNI CENTAR ZA PODVODNU ARHEOLOGIJU</t>
  </si>
  <si>
    <t>DNEVNI CENTAR ZA REHABILITACIJU SLAVA RAŠKAJ, RIJEKA</t>
  </si>
  <si>
    <t>DRŽAVNI ARHIV U ŠIBENIKU</t>
  </si>
  <si>
    <t>VELEUČILIŠTE U KARLOVCU</t>
  </si>
  <si>
    <t>SVEUČILIŠTE U ZAGREBU - FAKULTET ELEKTROTEHNIKE I RAČUNARSTVA</t>
  </si>
  <si>
    <t>SVEUČILIŠTE U SPLITU - FAKULTET GRAĐEVINARSTVA, ARHITEKTURE I GEODEZIJE</t>
  </si>
  <si>
    <t>CENTAR ZA SOCIJALNU SKRB GOSPIĆ</t>
  </si>
  <si>
    <t>DOM ZA ODRASLE OSOBE SVETI FRANE ZADAR</t>
  </si>
  <si>
    <t>DOM ZA ODRASLE OSOBE TROGIR</t>
  </si>
  <si>
    <t>SVEUČILIŠTE U SPLITU - PRAVNI FAKULTET</t>
  </si>
  <si>
    <t>CENTAR ZA ODGOJ I OBRAZOVANJE LUG</t>
  </si>
  <si>
    <t>SVEUČILIŠTE J.J STROSSMAYERA U OSIJEKU - PREHRAMBENO TEHNOLOŠKI FAKULTET</t>
  </si>
  <si>
    <t>SVEUČILIŠTE U SPLITU - MEDICINSKI FAKULTET</t>
  </si>
  <si>
    <t>CENTAR ZA SOCIJALNU SKRB OMIŠ</t>
  </si>
  <si>
    <t>CENTAR ZA SOCIJALNU SKRB IMOTSKI</t>
  </si>
  <si>
    <t>CENTAR ZA SOCIJALNU SKRB SPLIT</t>
  </si>
  <si>
    <t>CENTAR ZA SOCIJALNU SKRB ZAPREŠIĆ</t>
  </si>
  <si>
    <t>CENTAR ZA SOCIJALNU SKRB BENKOVAC</t>
  </si>
  <si>
    <t>CENTAR ZA REHABILITACIJU SV. FILIP I JAKOV</t>
  </si>
  <si>
    <t>CENTAR ZA PRUŽANJE USLUGA U ZAJEDNICI ZAGREB-DUGAVE</t>
  </si>
  <si>
    <t>CENTAR ZA REHABILITACIJU FRA ANTE SEKELEZ, VRLIKA</t>
  </si>
  <si>
    <t>CENTAR ZA SOCIJALNU SKRB MAKARSKA</t>
  </si>
  <si>
    <t>CENTAR ZA SOCIJALNU SKRB DRNIŠ</t>
  </si>
  <si>
    <t>SVEUČILIŠTE U ZAGREBU - AKADEMIJA DRAMSKE UMJETNOSTI</t>
  </si>
  <si>
    <t>CENTAR ZA ODGOJ I OBRAZOVANJE JURAJ BONAČI, SPLIT</t>
  </si>
  <si>
    <t>SVEUČILIŠTE J.J.STROSSMAYERA U OSIJEKU - FAKULTET ELEKTROTEHNIKE, RAČUNARSTVA I INFORMACIJSKIH TEHNOLOGIJA</t>
  </si>
  <si>
    <t>CENTAR ZA SOCIJALNU SKRB TROGIR</t>
  </si>
  <si>
    <t>CENTAR ZA SOCIJALNU SKRB SINJ</t>
  </si>
  <si>
    <t>SVEUČILIŠTE U RIJECI - FAKULTET ZDRAVSTVENIH STUDIJA U RIJECI</t>
  </si>
  <si>
    <t>VELEUČILIŠTE LAVOSLAV RUŽIČKA U VUKOVARU</t>
  </si>
  <si>
    <t>CENTAR ZA PRUŽANJE USLUGA U ZAJEDNICI KUĆA SRETNIH CIGLICA, SLAVONSKI BROD</t>
  </si>
  <si>
    <t>CENTAR ZA REHABILITACIJU PULA</t>
  </si>
  <si>
    <t>DOM ZA ODGOJ DJECE I MLADEŽI PULA</t>
  </si>
  <si>
    <t>CENTAR ZA REHABILITACIJU MALA TEREZIJA, VINKOVCI</t>
  </si>
  <si>
    <t>SVEUČILIŠTE J.J STROSSMAYERA U OSIJEKU - FILOZOFSKI FAKULTET</t>
  </si>
  <si>
    <t>SVEUČILIŠTE U ZAGREBU - AKADEMIJA LIKOVNIH UMJETNOSTI</t>
  </si>
  <si>
    <t>SVEUČILIŠTE U ZAGREBU - FARMACEUTSKO-BIOKEMIJSKI FAKULTET</t>
  </si>
  <si>
    <t>DOM ZA ODRASLE OSOBE ZEMUNIK</t>
  </si>
  <si>
    <t>CENTAR ZA REHABILITACIJU STANČIĆ, BRCKOVLJANI</t>
  </si>
  <si>
    <t>ODGOJNI DOM BEDEKOVČINA</t>
  </si>
  <si>
    <t>CENTAR ZA REHABILITACIJU ZAGREB</t>
  </si>
  <si>
    <t>CENTAR ZA SOCIJALNU SKRB DARUVAR</t>
  </si>
  <si>
    <t>CENTAR ZA SOCIJALNU SKRB ZAGREB</t>
  </si>
  <si>
    <t>CENTAR ZA SOCIJALNU SKRB ĐURĐEVAC</t>
  </si>
  <si>
    <t>CENTAR ZA ODGOJ I OBRAZOVANJE ŠUBIĆEVAC, ŠIBENIK</t>
  </si>
  <si>
    <t>CENTAR ZA SOCIJALNU SKRB PAKRAC</t>
  </si>
  <si>
    <t>CENTAR ZA SOCIJALNU SKRB GAREŠNICA</t>
  </si>
  <si>
    <t>CENTAR ZA SOCIJALNU SKRB DONJA STUBICA</t>
  </si>
  <si>
    <t>CENTAR ZA SOCIJALNU SKRB VALPOVO</t>
  </si>
  <si>
    <t>HRVATSKI MUZEJ TURIZMA</t>
  </si>
  <si>
    <t>CENTAR ZA SOCIJALNU SKRB LUDBREG</t>
  </si>
  <si>
    <t>CENTAR ZA SOCIJALNU SKRB KRAPINA</t>
  </si>
  <si>
    <t>DOM ZA ODRASLE OSOBE BIDRUŽICA</t>
  </si>
  <si>
    <t>URED DRŽAVNE UPRAVE U KRAPINSKO-ZAGORSKOJ ŽUPANIJI</t>
  </si>
  <si>
    <t>DOM ZA ODRASLE OSOBE BOROVA</t>
  </si>
  <si>
    <t>INSTITUT ZA ETNOLOGIJU I FOLKLORISTIKU</t>
  </si>
  <si>
    <t>CENTAR ZA PRUŽANJE USLUGA U ZAJEDNICI VLADIMIR NAZOR</t>
  </si>
  <si>
    <t>DJEČJI DOM IVANA BRLIĆ MAŽURANIĆ, LOVRAN</t>
  </si>
  <si>
    <t>CENTAR ZA SOCIJALNU SKRB NOVSKA</t>
  </si>
  <si>
    <t>CENTAR ZA SOCIJALNU SKRB DUGA RESA</t>
  </si>
  <si>
    <t>DOM ZA ODRASLE OSOBE MOTOVUN - CASA PER PERSONE ADULTE MONTONA</t>
  </si>
  <si>
    <t>CENTAR ZA SOCIJALNU SKRB OPATIJA</t>
  </si>
  <si>
    <t>CENTAR ZA SOCIJALNU SKRB KRK</t>
  </si>
  <si>
    <t>CENTAR ZA PRUŽANJE USLUGA U ZAJEDNICI OSIJEK - JA KAO I TI</t>
  </si>
  <si>
    <t>CENTAR ZA SOCIJALNU SKRB NOVA GRADIŠKA</t>
  </si>
  <si>
    <t>DOM ZA STARIJE OSOBE OKLAJ</t>
  </si>
  <si>
    <t>CENTAR ZA SOCIJALNU SKRB OGULIN</t>
  </si>
  <si>
    <t>CENTAR ZA SOCIJALNU SKRB CRES-LOŠINJ</t>
  </si>
  <si>
    <t>SVEUČILIŠTE U RIJECI - GRAĐEVINSKI FAKULTET U RIJECI</t>
  </si>
  <si>
    <t>CENTAR ZA ODGOJ I OBRAZOVANJE SLAVA RAŠKAJ, ZAGREB</t>
  </si>
  <si>
    <t>CENTAR ZA SOCIJALNU SKRB SLUNJ</t>
  </si>
  <si>
    <t>DJEČJI DOM RUŽA PETROVIĆ</t>
  </si>
  <si>
    <t>SVEUČILIŠTE U RIJECI - TEHNIČKI FAKULTET</t>
  </si>
  <si>
    <t>SVEUČILIŠTE J.J.STROSSMAYERA U OSIJEKU - KATOLIČKI BOGOSLOVNI FAKULTET U ĐAKOVU</t>
  </si>
  <si>
    <t>CENTAR ZA SOCIJALNU SKRB CRIKVENICA</t>
  </si>
  <si>
    <t>ZBIRKA UMJETNINA ANTE I WILTRUDE TOPIĆ MIMARA</t>
  </si>
  <si>
    <t>CENTAR ZA SOCIJALNU SKRB ŽUPANJA</t>
  </si>
  <si>
    <t>CENTAR ZA SOCIJALNU SKRB NOVI MAROF</t>
  </si>
  <si>
    <t>CENTAR ZA ODGOJ I OBRAZOVANJE ZAJEZDA, BUDINŠČINA</t>
  </si>
  <si>
    <t>CENTAR ZA SOCIJALNU SKRB BELI MANASTIR</t>
  </si>
  <si>
    <t>DRŽAVNI ARHIV U DUBROVNIKU</t>
  </si>
  <si>
    <t>CENTAR ZA PRUŽANJE USLUGA U ZAJEDNICI IZVOR, SELCE</t>
  </si>
  <si>
    <t>CENTAR ZA SOCIJALNU SKRB ROVINJ</t>
  </si>
  <si>
    <t>CENTAR ZA SOCIJALNU SKRB METKOVIĆ</t>
  </si>
  <si>
    <t>CENTAR ZA SOCIJALNU SKRB ČAZMA</t>
  </si>
  <si>
    <t>SVEUČILIŠTE U ZAGREBU - METALURŠKI FAKULTET SISAK</t>
  </si>
  <si>
    <t>DVOR TRAKOŠČAN</t>
  </si>
  <si>
    <t>CENTAR ZA ODGOJ I OBRAZOVANJE RUDOLF STEINER, DARUVAR</t>
  </si>
  <si>
    <t>HRVATSKI MUZEJ NAIVNE UMJETNOSTI</t>
  </si>
  <si>
    <t>DOM ZA ODGOJ DJECE I MLADEŽI KARLOVAC</t>
  </si>
  <si>
    <t>CENTAR ZA SOCIJALNU SKRB POŽEGA</t>
  </si>
  <si>
    <t>CENTAR ZA SOCIJALNU SKRB IVANIĆ GRAD</t>
  </si>
  <si>
    <t>CENTAR ZA SOCIJALNU SKRB VIROVITICA</t>
  </si>
  <si>
    <t>CENTAR ZA PRUŽANJE USLUGA U ZAJEDNICI KLASJE OSIJEK</t>
  </si>
  <si>
    <t>DOM ZA STARIJE I I TEŠKO BOLESNE ODRASLE OSOBE ''MAJKA MARIJA PETKOVIĆ''</t>
  </si>
  <si>
    <t>CENTAR ZA SOCIJALNU SKRB NAŠICE</t>
  </si>
  <si>
    <t>CENTAR ZA SOCIJALNU SKRB KUTINA</t>
  </si>
  <si>
    <t>CENTAR ZA SOCIJALNU SKRB KARLOVAC</t>
  </si>
  <si>
    <t>CENTAR ZA SOCIJALNU SKRB VINKOVCI</t>
  </si>
  <si>
    <t>DOM ZA ODRASLE OSOBE TURNIĆ, RIJEKA</t>
  </si>
  <si>
    <t>CENTAR ZA SOCIJALNU SKRB SLATINA</t>
  </si>
  <si>
    <t>MUZEJ ANTIČKOG STAKLA ZADAR</t>
  </si>
  <si>
    <t>DOM ZA ODRASLE OSOBE LJESKOVICA</t>
  </si>
  <si>
    <t>CENTAR ZA SOCIJALNU SKRB PULA-POLA</t>
  </si>
  <si>
    <t>CENTAR ZA SOCIJALNU SKRB KOPRIVNICA</t>
  </si>
  <si>
    <t>PARK PRIRODE TELAŠĆICA SALI</t>
  </si>
  <si>
    <t>CENTAR ZA SOCIJALNU SKRB ČAKOVEC</t>
  </si>
  <si>
    <t>CENTAR ZA SOCIJALNU SKRB PAZIN</t>
  </si>
  <si>
    <t>CENTAR ZA SOCIJALNU SKRB VUKOVAR</t>
  </si>
  <si>
    <t>CENTAR ZA SOCIJALNU SKRB PETRINJA</t>
  </si>
  <si>
    <t>DOM ZA ODRASLE OSOBE LOBOR-GRAD</t>
  </si>
  <si>
    <t>PREKRŠAJNI SUD U KOPRIVNICI</t>
  </si>
  <si>
    <t>INSTITUT ZA JAVNE FINANCIJE</t>
  </si>
  <si>
    <t>CENTAR ZA ODGOJ I OBRAZOVANJE DUBRAVA</t>
  </si>
  <si>
    <t>MUZEJ HRVATSKOG ZAGORJA</t>
  </si>
  <si>
    <t>URED ZA SUZBIJANJE ZLOUPORABE DROGA</t>
  </si>
  <si>
    <t>SVEUČILIŠTE U ZAGREBU - KATOLIČKI BOGOSLOVNI FAKULTET</t>
  </si>
  <si>
    <t>DOM ZA DJECU I MLAĐE PUNOLJETNE OSOBE ZAGREB</t>
  </si>
  <si>
    <t>CENTAR ZA SOCIJALNU SKRB VELIKA GORICA</t>
  </si>
  <si>
    <t>PREKRŠAJNI SUD U POŽEGI</t>
  </si>
  <si>
    <t>SVEUČILIŠTE U ZAGREBU - STOMATOLOŠKI FAKULTET</t>
  </si>
  <si>
    <t>URED DRŽAVNE UPRAVE U LIČKO-SENJSKOJ ŽUPANIJI</t>
  </si>
  <si>
    <t>HRVATSKI ZAVOD ZA MIROVINSKO OSIGURANJE</t>
  </si>
  <si>
    <t>ZATVOR U ZAGREBU</t>
  </si>
  <si>
    <t>CENTAR ZA SOCIJALNU SKRB BRAČ-SUPETAR</t>
  </si>
  <si>
    <t>SVEUČILIŠTE U RIJECI - EKONOMSKI FAKULTET</t>
  </si>
  <si>
    <t>ODGOJNI DOM IVANEC</t>
  </si>
  <si>
    <t>VELEUČILIŠTE U SLAVONSKOM BRODU</t>
  </si>
  <si>
    <t>DIREKCIJA ZA KORIŠTENJE SLUŽBENIH ZRAKOPLOVA</t>
  </si>
  <si>
    <t>URED ZASTUPNIKA REPUBLIKE HRVATSKE PRED EUROPSKIM SUDOM ZA LJUDSKA PRAVA</t>
  </si>
  <si>
    <t>VLADA REPUBLIKE HRVATSKE</t>
  </si>
  <si>
    <t>STAROSLAVENSKI INSTITUT</t>
  </si>
  <si>
    <t>EKONOMSKI INSTITUT ZAGREB</t>
  </si>
  <si>
    <t>SVEUČILIŠTE J.J STROSSMAYERA U OSIJEKU - STROJARSKI FAKULTET U SLAVONSKOME BRODU</t>
  </si>
  <si>
    <t>ŽUPANIJSKI SUD U VUKOVARU</t>
  </si>
  <si>
    <t>CENTAR ZA SOCIJALNU SKRB JASTREBARSKO</t>
  </si>
  <si>
    <t>CENTAR ZA SOCIJALNU SKRB DUGO SELO</t>
  </si>
  <si>
    <t>OPĆINSKO DRŽAVNO ODVJETNIŠTVO U SLAVONSKOM BRODU</t>
  </si>
  <si>
    <t>DRŽAVNI ARHIV U GOSPIĆU</t>
  </si>
  <si>
    <t>ŽUPANIJSKI SUD U ZAGREBU</t>
  </si>
  <si>
    <t>CENTAR ZA REHABILITACIJU RIJEKA</t>
  </si>
  <si>
    <t>PREKRŠAJNI SUD U ŠIBENIKU</t>
  </si>
  <si>
    <t>OPĆINSKO DRŽAVNO ODVJETNIŠTVO U POŽEGI</t>
  </si>
  <si>
    <t>FAKULTET ORGANIZACIJE I INFORMATIKE U VARAŽDINU</t>
  </si>
  <si>
    <t>OPĆINSKO DRŽAVNO ODVJETNIŠTVO U DUBROVNIKU</t>
  </si>
  <si>
    <t>VELEUČILIŠTE NIKOLA TESLA U GOSPIĆU</t>
  </si>
  <si>
    <t>CENTAR ZA SOCIJALNU SKRB DUBROVNIK</t>
  </si>
  <si>
    <t>SVEUČILIŠTE U ZAGREBU - VETERINARSKI FAKULTET</t>
  </si>
  <si>
    <t>DOM ZA ODRASLE OSOBE BJELOVAR</t>
  </si>
  <si>
    <t>HRVATSKI INSTITUT ZA POVIJEST</t>
  </si>
  <si>
    <t>SVEUČILIŠTE U ZAGREBU - ARHITEKTONSKI FAKULTET</t>
  </si>
  <si>
    <t>POVJERENSTVO ZA ODLUČIVANJE O SUKOBU INTERESA</t>
  </si>
  <si>
    <t>AGENCIJA ZA ELEKTRONIČKE MEDIJE</t>
  </si>
  <si>
    <t>INSTITUT ZA RAZVOJ I MEĐUNARODNE ODNOSE</t>
  </si>
  <si>
    <t>CENTAR ZA SOCIJALNU SKRB KRIŽEVCI</t>
  </si>
  <si>
    <t>CENTAR ZA PRUŽANJE USLUGA U ZAJEDNICI LIPIK</t>
  </si>
  <si>
    <t>SVEUČILIŠTE U ZAGREBU - GRAĐEVINSKI FAKULTET</t>
  </si>
  <si>
    <t>SVEUČILIŠTE U ZAGREBU - GRAFIČKI FAKULTET</t>
  </si>
  <si>
    <t>DOM ZA ODRASLE OSOBE OREHOVICA</t>
  </si>
  <si>
    <t>DJEČJI DOM SV. ANA VINKOVCI</t>
  </si>
  <si>
    <t>21.07.0017</t>
  </si>
  <si>
    <t>URED ZA LJUDSKA PRAVA I PRAVA NACIONALNH MANJINA</t>
  </si>
  <si>
    <t>URED KOMISIJE ZA ODNOSE S VJERSKIM ZAJEDNICAMA</t>
  </si>
  <si>
    <t>URED VLADE RH ZA UNUTARNJU REVIZIJU</t>
  </si>
  <si>
    <t>STRUČNA SLUŽBA SAVJETA ZA NACIONALNE MANJINE</t>
  </si>
  <si>
    <t>URED ZA UDRUGE</t>
  </si>
  <si>
    <t>URED ZA RAZMINIRANJE</t>
  </si>
  <si>
    <t>URED ZA RAVNOPRAVNOST SPOLOVA</t>
  </si>
  <si>
    <t>SREDIŠNJI DRŽAVNI URED ZA SREDIŠNJU JAVNU NABAVU</t>
  </si>
  <si>
    <t>HRVATSKI ZAVOD ZA ZAPOŠLJAVANJE</t>
  </si>
  <si>
    <t>HRVATSKI ZAVOD ZA PROSTORNI RAZVOJ</t>
  </si>
  <si>
    <t>URED ZA ZAKONODAVSTVO</t>
  </si>
  <si>
    <t>URED ZA PROTOKOL</t>
  </si>
  <si>
    <t>AGENCIJA ZA LIJEKOVE I MEDICINSKE PROIZVODE</t>
  </si>
  <si>
    <t>HRVATSKA IZVJEŠTAJNA NOVINSKA AGENCIJA</t>
  </si>
  <si>
    <t>HRVATSKA REGULATORNA AGENCIJA ZA MREŽNE DJELATNOSTI</t>
  </si>
  <si>
    <t>DRŽAVNO IZBORNO POVJERENSTVO REPUBLIKE HRVATSKE</t>
  </si>
  <si>
    <t>HRVATSKA AGENCIJA ZA NADZOR FINANCIJSKIH USLUGA</t>
  </si>
  <si>
    <t>NACIONALNI CENTAR ZA VANJSKO VREDNOVANJE OBRAZOVANJA</t>
  </si>
  <si>
    <t>PRAVOBRANITELJ/ICA ZA RAVNOPRAVNOST SPOLOVA</t>
  </si>
  <si>
    <t>DRŽAVNO ODVJETNIČKO VIJEĆE</t>
  </si>
  <si>
    <t>PREKRŠAJNI SUD U PULI - POLA</t>
  </si>
  <si>
    <t>SVEUČILIŠTE U ZAGREBU - GEODETSKI FAKULTET</t>
  </si>
  <si>
    <t>SVEUČILIŠTE U RIJECI - UČITELJSKI FAKULTET</t>
  </si>
  <si>
    <t>PREKRŠAJNI SUD U KARLOVCU</t>
  </si>
  <si>
    <t>CENTAR ZA SOCIJALNU SKRB SVETI IVAN ZELINA</t>
  </si>
  <si>
    <t>UPRAVNI SUD U RIJECI</t>
  </si>
  <si>
    <t>CENTAR ZA SOCIJALNU SKRB HRVATSKA KOSTAJNICA</t>
  </si>
  <si>
    <t>DRŽAVNA ŠKOLA ZA JAVNU UPRAVU</t>
  </si>
  <si>
    <t>SVEUČILIŠTE U ZAGREBU - RUDARSKO-GEOLOŠKO-NAFTNI FAKULTET</t>
  </si>
  <si>
    <t>AGENCIJA ZA SIGURNOST ŽELJEZNIČKOG PROMETA</t>
  </si>
  <si>
    <t>ŽUPANIJSKO DRŽAVNO ODVJETNIŠTVO U SPLITU</t>
  </si>
  <si>
    <t>CENTAR ZA SOCIJALNU SKRB RIJEKA</t>
  </si>
  <si>
    <t>SVEUČILIŠTE J.J STROSSMAYERA U OSIJEKU - PRAVNI FAKULTET</t>
  </si>
  <si>
    <t>AGENCIJA ZA REGIONALNI RAZVOJ REPUBLIKE HRVATSKE</t>
  </si>
  <si>
    <t>SPOMEN PODRUČJE JASENOVAC</t>
  </si>
  <si>
    <t>MUZEJ VUČEDOLSKE KULTURE</t>
  </si>
  <si>
    <t>CENTAR ZA SOCIJALNU SKRB KORČULA</t>
  </si>
  <si>
    <t>CENTAR ZA SOCIJALNU SKRB PLOČE</t>
  </si>
  <si>
    <t>ZATVOR U OSIJEKU</t>
  </si>
  <si>
    <t>30.03.0017</t>
  </si>
  <si>
    <t>CENTAR ZA REHABILITACIJU KOMAREVO</t>
  </si>
  <si>
    <t>DJEČJI DOM VRBINA, SISAK</t>
  </si>
  <si>
    <t>CENTAR ZA SOCIJALNU SKRB ĐAKOVO</t>
  </si>
  <si>
    <t>CENTAR ZA PRUŽANJE USLUGA U ZAJEDNICI SVITANJE, KOPRIVNICA</t>
  </si>
  <si>
    <t>INSTITUT ZA FILOZOFIJU</t>
  </si>
  <si>
    <t>HRVATSKI MEMORIJALNO-DOKUMENTACIJSKI CENTAR DOMOVINSKOGA RATA</t>
  </si>
  <si>
    <t>PREKRŠAJNI SUD U DUBROVNIKU</t>
  </si>
  <si>
    <t>MUZEJSKI DOKUMENTACIJSKI CENTAR</t>
  </si>
  <si>
    <t>CENTAR ZA REHABILITACIJU SAMARITANAC, SPLIT</t>
  </si>
  <si>
    <t>CENTAR ZA DIJAGNOSTIKU U ZAGREBU</t>
  </si>
  <si>
    <t>CENTAR ZA IZOBRAZBU</t>
  </si>
  <si>
    <t>OPĆINSKI RADNI SUD U ZAGREBU</t>
  </si>
  <si>
    <t>PREKRŠAJNI SUD U VARAŽDINU</t>
  </si>
  <si>
    <t>SVEUČILIŠTE U RIJECI - FILOZOFSKI FAKULTET</t>
  </si>
  <si>
    <t>CENTAR ZA SOCIJALNU SKRB DONJI MIHOLJAC</t>
  </si>
  <si>
    <t>PREKRŠAJNI SUD U ČAKOVCU</t>
  </si>
  <si>
    <t>SVEUČILIŠTE U RIJECI - AKADEMIJA PRIMJENJENIH UMJETNOSTI</t>
  </si>
  <si>
    <t>ARHEOLOŠKI MUZEJ NARONA</t>
  </si>
  <si>
    <t>CENTAR ZA SOCIJALNU SKRB OSIJEK</t>
  </si>
  <si>
    <t>MEĐIMURSKO VELEUČILIŠTE U ČAKOVCU</t>
  </si>
  <si>
    <t>PREKRŠAJNI SUD U VIROVITICI</t>
  </si>
  <si>
    <t>ŽUPANIJSKO DRŽAVNO ODVJETNIŠTVO U ZADRU</t>
  </si>
  <si>
    <t>PREKRŠAJNI SUD U VELIKOJ GORICI</t>
  </si>
  <si>
    <t>PREKRŠAJNI SUD U ZAGREBU</t>
  </si>
  <si>
    <t>PREKRŠAJNI SUD U GOSPIĆU</t>
  </si>
  <si>
    <t>PREKRŠAJNI SUD U SLAVONSKOM BRODU</t>
  </si>
  <si>
    <t>CENTAR ZA SOCIJALNU SKRB KNIN</t>
  </si>
  <si>
    <t>04.04.0206</t>
  </si>
  <si>
    <t>33760000-5</t>
  </si>
  <si>
    <t>34350000-5</t>
  </si>
  <si>
    <t xml:space="preserve">09100000-0 </t>
  </si>
  <si>
    <t>09310000-5</t>
  </si>
  <si>
    <t xml:space="preserve">09123000-7 </t>
  </si>
  <si>
    <t>30200000-1</t>
  </si>
  <si>
    <t xml:space="preserve">48000000-8 </t>
  </si>
  <si>
    <t xml:space="preserve">64200000-8 </t>
  </si>
  <si>
    <t xml:space="preserve">72514000-1 </t>
  </si>
  <si>
    <t xml:space="preserve">64110000-0 </t>
  </si>
  <si>
    <t xml:space="preserve">66514110–0 </t>
  </si>
  <si>
    <t>90910000-9</t>
  </si>
  <si>
    <t>Ukupno isplaćeni iznos ugovaratelju temeljem ugovora koji su bili na snazi tijekom 2017. godine (kn, s PDV-om):</t>
  </si>
  <si>
    <t>PU - 406-01/16-01/29, 17-9</t>
  </si>
  <si>
    <t>Zajednica ponuditelja: Zvibor d.o.o. OIB: 03454358063, Birodom d.d. OIB: 47794513055, TIP-Zagreb d.o.o. OIB: 36198195227 i INGpro d.o.o. OIB: 93205229945</t>
  </si>
  <si>
    <t>Zajednica ponuditelja: Narodne novine d.d. OIB: 64546066176 i Fokus d.o.o. OIB: 59082812808</t>
  </si>
  <si>
    <t>Zajednica ponuditelja: Narodne novine d.d. OIB: 64546066176, Fokus d.o.o. OIB: 59082812808 i Insepo d.o.o. OIB: 92528715879</t>
  </si>
  <si>
    <t>Zajednica ponuditelja: Makromikro grupa d.o.o. OIB: 50467974870 i Markomikro d.o.o. OIB:08564317085</t>
  </si>
  <si>
    <t>Zajednica ponuditelja: Zvibor d.o.o. OIB:03454358063, Birodom d.d. OIB:47794513055, TIP-Zagreb d.o.o. OIB:36198195227 i INGpro d.o.o. OIB:93205229945</t>
  </si>
  <si>
    <t>Insako d.o.o. OIB:39851720584</t>
  </si>
  <si>
    <t>Capricorno d.o.o. OIB:9517317411</t>
  </si>
  <si>
    <t>Zajednica ponuditelja: Insako d.o.o. OIB:39851720584 i Premium d.o.o. OIB:99050636440</t>
  </si>
  <si>
    <t>Hypo-Leasing Steiermark d.o.o. OIB:64646464586</t>
  </si>
  <si>
    <t>Porsche leasing d.o.o. OIB:90275854576</t>
  </si>
  <si>
    <t>Zajednica ponuditelja: Hypo Alpe-Adria-Leasing d.o.o. OIB:03153152979, UniCredit Leasing croatia d.o.o. OIB:18736141210, Impuls leasing d.o.o. OIB:65918029671, OTP Leasing d.d. OIB:23780250353 i Erste &amp; Steiermarkische S-leasing d.o.o. OIB:46550671661</t>
  </si>
  <si>
    <t>SG Leasing d.o.o. OIB:08745792574</t>
  </si>
  <si>
    <t>Unicredit leasing Croatia d.o.o. OIB:18736141210</t>
  </si>
  <si>
    <t>PBZ - Leasing d.o.o. OIB:57270798205</t>
  </si>
  <si>
    <t>INA - Industrija nafte d.d. OIB:27759560625</t>
  </si>
  <si>
    <t>Crodux derivati dva d.o.o. OIB:00865396224</t>
  </si>
  <si>
    <t>Petrol d.o.o. OIB:75550985023</t>
  </si>
  <si>
    <t>HEP Opskrba d.o.o. OIB:63073332379</t>
  </si>
  <si>
    <t>Međimurje plin d.o.o. OIB:29035933600</t>
  </si>
  <si>
    <t>Termoplin d.d. OIB:70140364776</t>
  </si>
  <si>
    <t>HEP Plin d.o.o. OIB:41317489366</t>
  </si>
  <si>
    <t>Darkom d.o.o. OIB:51300447787</t>
  </si>
  <si>
    <t>Dukom plin d.o.o. OIB:04711930896</t>
  </si>
  <si>
    <t>Comping d.o.o. OIB:09201087238, EBC Sistemi d.o.o. OIB:34583734418 i KING ICT d.o.o. OIB:67001695549</t>
  </si>
  <si>
    <t>Comping d.o.o. OIB:09201087238 i KING ICT d.o.o. OIB:67001695549</t>
  </si>
  <si>
    <t>Hrvatski Telekom d.d. OIB:81793146560</t>
  </si>
  <si>
    <t>Zajednica ponuditelja: KING ICT d.o.o. OIB:67001695549 i Oganj d.o.o. OIB:10077695689</t>
  </si>
  <si>
    <t>KSU d.o.o. OIB:34976993601</t>
  </si>
  <si>
    <t>Hrvatska pošta d.d. OIB:87311810356</t>
  </si>
  <si>
    <t>Croatia osiguranje d.d. OIB:26187994862</t>
  </si>
  <si>
    <t>AKD Zaštita d.o.o. OIB:09253797076</t>
  </si>
  <si>
    <t>Sokol Marić d.o.o. OIB:11543074213</t>
  </si>
  <si>
    <t>Adriatic servis d.o.o. OIB:94765037768</t>
  </si>
  <si>
    <t>Atalian Global services Croatia d.o.o. OIB:69857578031</t>
  </si>
  <si>
    <t>Forset d.o.o. OIB:78226361004</t>
  </si>
  <si>
    <t>K.S.T. Trgovina d.o.o. OIB:32635251711</t>
  </si>
  <si>
    <t>Zajednica ponuditelja: KING ICT d.o.o. OIB:67001695549, Ericsson Nikola Tesla d.d. OIB:84214771175, Combis d.o.o. OIB:91678676896, IN2 d.o.o. OIB:68195665956 i Computech d.o.o. OIB:85420402260</t>
  </si>
  <si>
    <t>Končar Elektronika i informatika d.d. OIB:18545665005, Hrvatski Telekom d.d. OIB:81793146560 i KING ICT d.d. OIB:67001695549</t>
  </si>
  <si>
    <t>Zajednica ponuditelja: KING ICT d.o.o. OIB:67001695549, Combis d.o.o. OIB:91678676896, CompING d.o.o. OIB:09201087238 i Span d.o.o. OIB:19680551758</t>
  </si>
  <si>
    <t>Vulkal d.o.o. OIB:90439696130</t>
  </si>
  <si>
    <t>Pneumatik d.o.o. OIB:68256909072, Zajednica ponuditelja: Auto Hrvatska autodijelovi d.o.o. OIB:90648816850, Auto Hrvatska autoservisi d.o.o. OIB:77313259738 i Auto Hrvatska prodajno servisni centri d.o.o. OIB:87682591133, Gumiimpex GRP d.d. OIB:82298562620</t>
  </si>
  <si>
    <t>Pneumatik d.o.o. OIB:68256909072, Zajednica ponuditelja: Auto Hrvatska autodijelovi d.o.o. OIB:90648816850, Auto Hrvatska autoservisi d.o.o. OIB:77313259738 i Auto Hrvatska prodajno servisni centri d.o.o. OIB:87682591133, Vulkal d.o.o. OIB:90439696130</t>
  </si>
  <si>
    <t>Pneumatik d.o.o. OIB:68256909072 i Gumiimpex GRP d.d. OIB:82298562620</t>
  </si>
  <si>
    <t>Pneumatik d.o.o. OIB:68256909072, Zajednica ponuditelja: Auto Hrvatska autodijelovi d.o.o. OIB:90648816850 i Auto Hrvatska autoservisi d.o.o. OIB:77313259738, Gumiimpex GRP d.d. OIB:82298562620</t>
  </si>
  <si>
    <t>Pneumatik d.o.o. OIB:68256909072, Vulkal d.o.o. OIB:90439696130 i Robni centar d.o.o. OIB:52971700497</t>
  </si>
  <si>
    <t>PU - 406-01/16-01/07, 17-9</t>
  </si>
  <si>
    <t>742/2017</t>
  </si>
  <si>
    <t>SNUG-204-18-001</t>
  </si>
  <si>
    <t>MFIN_KL:406-01/15-01/103, UR22</t>
  </si>
  <si>
    <t>59/17</t>
  </si>
  <si>
    <t>370/2017</t>
  </si>
  <si>
    <t>PU - 406-01/16-01/07, 17-7</t>
  </si>
  <si>
    <t>BSK-M-82/2017</t>
  </si>
  <si>
    <t>86/2017</t>
  </si>
  <si>
    <t>MOBITELI</t>
  </si>
  <si>
    <t>U023/17</t>
  </si>
  <si>
    <t>03-C-SI-0332/17-21</t>
  </si>
  <si>
    <t>UGOVOR U-7-MV/2017.</t>
  </si>
  <si>
    <t>N038/2017DT</t>
  </si>
  <si>
    <t>3-8-16-2</t>
  </si>
  <si>
    <t>BSK-M-58/2017</t>
  </si>
  <si>
    <t>MGPU 9/2015-A</t>
  </si>
  <si>
    <t>9/2015-A-17/18-1</t>
  </si>
  <si>
    <t>BSK-M-26/2017</t>
  </si>
  <si>
    <t>KLASA:406-01/15-01/103,UR 16</t>
  </si>
  <si>
    <t>406-01/16-01/0004</t>
  </si>
  <si>
    <t>P/14767859</t>
  </si>
  <si>
    <t>1/17</t>
  </si>
  <si>
    <t>BSK-M-246/2016</t>
  </si>
  <si>
    <t>406-01/17-01/75</t>
  </si>
  <si>
    <t>030-01/17-01/2</t>
  </si>
  <si>
    <t>BSK-M-7/2017</t>
  </si>
  <si>
    <t>9-2015 A-MHB</t>
  </si>
  <si>
    <t>BSK-M-26/2016</t>
  </si>
  <si>
    <t>510/8-C-U-0009/16-90</t>
  </si>
  <si>
    <t>PU - MOBILNA TELEFONIJA</t>
  </si>
  <si>
    <t>SNUG-204-16-0016</t>
  </si>
  <si>
    <t>5302/2016</t>
  </si>
  <si>
    <t>U036/16</t>
  </si>
  <si>
    <t>03-C-U-0042/16-21</t>
  </si>
  <si>
    <t>802/02-16/07OS-U1</t>
  </si>
  <si>
    <t>BSK-M-96/2016; 09/UZOP/2016</t>
  </si>
  <si>
    <t>BSK-M-76/2016</t>
  </si>
  <si>
    <t>9/2015 BSK-M-29/2016</t>
  </si>
  <si>
    <t>3-8-16-1</t>
  </si>
  <si>
    <t>920-07/16-13/02</t>
  </si>
  <si>
    <t xml:space="preserve">31.12.2017. </t>
  </si>
  <si>
    <t>0,00</t>
  </si>
  <si>
    <t xml:space="preserve">30.09.2017. </t>
  </si>
  <si>
    <t xml:space="preserve">31.03.2017. </t>
  </si>
  <si>
    <t xml:space="preserve">28.04.2017. </t>
  </si>
  <si>
    <t xml:space="preserve">30.06.2017. </t>
  </si>
  <si>
    <t>UJN-BSS227/2016</t>
  </si>
  <si>
    <t>UJN-BSS-188/2016</t>
  </si>
  <si>
    <t>030-04/16-01/01-3</t>
  </si>
  <si>
    <t>UJN-BSK-803/2017</t>
  </si>
  <si>
    <t>7-129/2017</t>
  </si>
  <si>
    <t>UJN-BSK-864/</t>
  </si>
  <si>
    <t>UJN-BSS-963/2017</t>
  </si>
  <si>
    <t>UJN-BSS-918/2017</t>
  </si>
  <si>
    <t>UJN-BSS-936/2017</t>
  </si>
  <si>
    <t>UJN-BSS-925/2017</t>
  </si>
  <si>
    <t>UJN-BSS-545/2017</t>
  </si>
  <si>
    <t>UJN-BSS-927/2017</t>
  </si>
  <si>
    <t>UJN-BSS-981/2017</t>
  </si>
  <si>
    <t>251-56-01-17-43-1-175</t>
  </si>
  <si>
    <t>561-01-17-3476</t>
  </si>
  <si>
    <t>UJN-BSK-1076/2017</t>
  </si>
  <si>
    <t>UJN-BSS-914/2017</t>
  </si>
  <si>
    <t>528/2017</t>
  </si>
  <si>
    <t>41 SU-115/15-74</t>
  </si>
  <si>
    <t>UJN-BSS-917/2017 (III)</t>
  </si>
  <si>
    <t>DOV-61/2015</t>
  </si>
  <si>
    <t>406-09/17-01/02</t>
  </si>
  <si>
    <t>UJN-BSS-966/2017</t>
  </si>
  <si>
    <t>JN-63/2017</t>
  </si>
  <si>
    <t>41-SU-620/17</t>
  </si>
  <si>
    <t>UJN-BSS-543/2017</t>
  </si>
  <si>
    <t>41-SU-873/17</t>
  </si>
  <si>
    <t>UJN-BSS-989/2017</t>
  </si>
  <si>
    <t>UJN-BSS-191/2018</t>
  </si>
  <si>
    <t>17-SU-1163/17</t>
  </si>
  <si>
    <t>UJN-BSS-974/2017</t>
  </si>
  <si>
    <t>MOBITEL 1-2018</t>
  </si>
  <si>
    <t>29.12.17-29.12.2018</t>
  </si>
  <si>
    <t>41-SU-166/16</t>
  </si>
  <si>
    <t>BSK-M-51/2017</t>
  </si>
  <si>
    <t>UJN-BSS-118/2017</t>
  </si>
  <si>
    <t>UJN-BSS-379/2017</t>
  </si>
  <si>
    <t>BSS</t>
  </si>
  <si>
    <t>UJN-BSS-351/2017</t>
  </si>
  <si>
    <t>2002/17</t>
  </si>
  <si>
    <t>MOBILNA 4</t>
  </si>
  <si>
    <t>UJN-BSS-517/2017</t>
  </si>
  <si>
    <t>UJN-BSS-366/2017</t>
  </si>
  <si>
    <t>UJN-BSS-375/2017</t>
  </si>
  <si>
    <t>UJN-BSS-511/2017</t>
  </si>
  <si>
    <t>UJN-BSS-356/2017</t>
  </si>
  <si>
    <t>9/2015</t>
  </si>
  <si>
    <t>003-11/17-01/11</t>
  </si>
  <si>
    <t>UJN-BSS-374/2017</t>
  </si>
  <si>
    <t>UDUPGZ/ 4 / 17</t>
  </si>
  <si>
    <t>UJN-BSS-371/2017</t>
  </si>
  <si>
    <t>UJN-BSS-369/2017</t>
  </si>
  <si>
    <t>UJN-BSS-522/2017</t>
  </si>
  <si>
    <t>UJN-BSS-358/2017</t>
  </si>
  <si>
    <t>UJN-BSS-378/2017</t>
  </si>
  <si>
    <t>UJN-BSS-372/2017</t>
  </si>
  <si>
    <t>402-02/17-01/20</t>
  </si>
  <si>
    <t>UJN-BSS-363/2017</t>
  </si>
  <si>
    <t>I-004/2017</t>
  </si>
  <si>
    <t>UJN-BSS-365/2017</t>
  </si>
  <si>
    <t>UJN-BSS-512/2017</t>
  </si>
  <si>
    <t>406-09/17-01/07</t>
  </si>
  <si>
    <t>UJN-BSS-362/2017</t>
  </si>
  <si>
    <t>UJN-BSS-147/2017</t>
  </si>
  <si>
    <t>UJN-BSS-186/2016</t>
  </si>
  <si>
    <t>UJN-BSS-368/2017</t>
  </si>
  <si>
    <t>UJN-BSS-355/2017</t>
  </si>
  <si>
    <t>UJN-BSS-505/2016</t>
  </si>
  <si>
    <t>220/2017</t>
  </si>
  <si>
    <t>UJN-BSS-223/02017</t>
  </si>
  <si>
    <t>UJN-BSS-165/2017</t>
  </si>
  <si>
    <t>UJN-BSS-359/2017</t>
  </si>
  <si>
    <t>UJN-BSS-230/2017</t>
  </si>
  <si>
    <t>030-08/17-01/06</t>
  </si>
  <si>
    <t>20-SU-181/17</t>
  </si>
  <si>
    <t>UJN-BSS-219/2017</t>
  </si>
  <si>
    <t>BSK-M-116/2016</t>
  </si>
  <si>
    <t>UJN-BSS-169/2017</t>
  </si>
  <si>
    <t>UJN-BSS-160/2017 MOBILNA MREŽA</t>
  </si>
  <si>
    <t>UJN-BSS-227/2017</t>
  </si>
  <si>
    <t>UJN-BSS-211/2017</t>
  </si>
  <si>
    <t>UJN-BSS-352/2017</t>
  </si>
  <si>
    <t>UJN-BSS-214/2017</t>
  </si>
  <si>
    <t>408/2017</t>
  </si>
  <si>
    <t>UJN-BSS-221/2017</t>
  </si>
  <si>
    <t>UJN-BSS-199/2017</t>
  </si>
  <si>
    <t>UJN-BSS-229/2017</t>
  </si>
  <si>
    <t>UJN-BSS-27/2017</t>
  </si>
  <si>
    <t>UJN-BSS-350/2017</t>
  </si>
  <si>
    <t>21/2016</t>
  </si>
  <si>
    <t>UJN-BSS-213/2017</t>
  </si>
  <si>
    <t>MOBITEL-2</t>
  </si>
  <si>
    <t>UJN-BSS-354/2017</t>
  </si>
  <si>
    <t>UJN-BSS-206/2017</t>
  </si>
  <si>
    <t>UJN-BSS-222/2017</t>
  </si>
  <si>
    <t>II-7/2017</t>
  </si>
  <si>
    <t>UJN-BSS-154/2017</t>
  </si>
  <si>
    <t>UJN-BSS-212/2017</t>
  </si>
  <si>
    <t>UJN-BSS-166/2017</t>
  </si>
  <si>
    <t>UJN-BSS-149/2017</t>
  </si>
  <si>
    <t>UJN-BSS-209/2017</t>
  </si>
  <si>
    <t>UJN-BSS-158/2017</t>
  </si>
  <si>
    <t>UJN-BSS-157/2017</t>
  </si>
  <si>
    <t>UJN-BSS-204/2017</t>
  </si>
  <si>
    <t>UJN-BSS-155/2017</t>
  </si>
  <si>
    <t>UJN-BSS-203/2017</t>
  </si>
  <si>
    <t>BSK-M-85/2017</t>
  </si>
  <si>
    <t>BV-11/2017</t>
  </si>
  <si>
    <t>UJN-BSS-150/2017</t>
  </si>
  <si>
    <t>UJN-BSS-112/2017</t>
  </si>
  <si>
    <t>UJN-BSS-162/2017</t>
  </si>
  <si>
    <t>UJN-BSS-197/2017</t>
  </si>
  <si>
    <t>UJN-BSS-99/2017</t>
  </si>
  <si>
    <t>UJN-BSS-161/2017</t>
  </si>
  <si>
    <t>UJN-BSS-216/2017</t>
  </si>
  <si>
    <t>UJN-BSS-205/2017</t>
  </si>
  <si>
    <t>BSK-M-55/2017</t>
  </si>
  <si>
    <t>UJN-BSS-152/2017</t>
  </si>
  <si>
    <t>UJN-BSS-77/2017</t>
  </si>
  <si>
    <t>UJN-BSS-113/2017</t>
  </si>
  <si>
    <t>54-610/17</t>
  </si>
  <si>
    <t>19/17</t>
  </si>
  <si>
    <t>UJN-BSS-67/2017</t>
  </si>
  <si>
    <t>UJN-BSS-168/2017</t>
  </si>
  <si>
    <t>UJN-BSS-225/2017</t>
  </si>
  <si>
    <t>UJN-BSS-102/2017</t>
  </si>
  <si>
    <t>UJN-BSS-163/2017</t>
  </si>
  <si>
    <t>UJN-BSS-119/2017</t>
  </si>
  <si>
    <t>UJN-BSS-116/2017</t>
  </si>
  <si>
    <t>MV-1/2016</t>
  </si>
  <si>
    <t>UJN-BSS-117/2017</t>
  </si>
  <si>
    <t>UJN-BSS-111/2017</t>
  </si>
  <si>
    <t>MT</t>
  </si>
  <si>
    <t>UJN-BSS-108/2017</t>
  </si>
  <si>
    <t>UJN-BSS-104/2017</t>
  </si>
  <si>
    <t>UJN-BSS-110/2017</t>
  </si>
  <si>
    <t>UJN-BSS-46/2017</t>
  </si>
  <si>
    <t>UJN-BSS-360/2017</t>
  </si>
  <si>
    <t>UJN BSS 114/2017</t>
  </si>
  <si>
    <t>UJN-BSS-62/2017</t>
  </si>
  <si>
    <t>UJN-BSS-228/2017</t>
  </si>
  <si>
    <t>UJN-BSS-68/17</t>
  </si>
  <si>
    <t>UJN-BSS-66/2017</t>
  </si>
  <si>
    <t>UJN-BSS-192/2016</t>
  </si>
  <si>
    <t>41 SU-483/15</t>
  </si>
  <si>
    <t>UJN-BSS-504/2016</t>
  </si>
  <si>
    <t>UJN-BSS-68/2017</t>
  </si>
  <si>
    <t>UJN-BSS-479/2016</t>
  </si>
  <si>
    <t>UJN-BSS-79/2017</t>
  </si>
  <si>
    <t>UJN-BSS-223/2016</t>
  </si>
  <si>
    <t>A-38/15-9 (UJN-BSS-512/2016)</t>
  </si>
  <si>
    <t>7-21/2017</t>
  </si>
  <si>
    <t>BSK-M-49/2017</t>
  </si>
  <si>
    <t>UJN-BSS-111/2016</t>
  </si>
  <si>
    <t>UJN-BSS-28/2017</t>
  </si>
  <si>
    <t>UJN-BSS-70/2017</t>
  </si>
  <si>
    <t>UJN-BSS-26/2017</t>
  </si>
  <si>
    <t>UJN-BSS-506/2016</t>
  </si>
  <si>
    <t>UJN-BSS-25/2017</t>
  </si>
  <si>
    <t>MOBILNA TELEFONIJA</t>
  </si>
  <si>
    <t>UJN-BSS-24/2017</t>
  </si>
  <si>
    <t>UJN-BSS-72/2017</t>
  </si>
  <si>
    <t>BSK-M-4/2017</t>
  </si>
  <si>
    <t>UJN-BSS-95/2017</t>
  </si>
  <si>
    <t>MV032</t>
  </si>
  <si>
    <t>UJN-BSS-98/2017</t>
  </si>
  <si>
    <t>UJN-BSS-333/16</t>
  </si>
  <si>
    <t>02-1/17</t>
  </si>
  <si>
    <t>UJN-BSS-454/2016</t>
  </si>
  <si>
    <t>UJN-BSS-16/2017</t>
  </si>
  <si>
    <t>UJN-BSS-76/2017</t>
  </si>
  <si>
    <t>1573346</t>
  </si>
  <si>
    <t>13-32311-01/2017</t>
  </si>
  <si>
    <t>12345678/16</t>
  </si>
  <si>
    <t>030-04/16-01/01-2</t>
  </si>
  <si>
    <t>BSK-M-14/2017</t>
  </si>
  <si>
    <t>UJN-BSS-58/2017</t>
  </si>
  <si>
    <t>102101/175</t>
  </si>
  <si>
    <t>2137-78-17/47</t>
  </si>
  <si>
    <t>BSK-M-248/2016</t>
  </si>
  <si>
    <t>UJNS-BSS-159/2017</t>
  </si>
  <si>
    <t>01-1531/1-16</t>
  </si>
  <si>
    <t>A-88/12</t>
  </si>
  <si>
    <t>UJN-BSS-502/2016</t>
  </si>
  <si>
    <t>BSK-M-249/2016</t>
  </si>
  <si>
    <t>B-5/2017</t>
  </si>
  <si>
    <t>030-08/17-01/16</t>
  </si>
  <si>
    <t>NARUDŽBENICA 52/MB/17</t>
  </si>
  <si>
    <t>UJN-BSS-88/2016</t>
  </si>
  <si>
    <t>406-01/16-01/10</t>
  </si>
  <si>
    <t>UJN-BSS-100/2017</t>
  </si>
  <si>
    <t>51-200-100/17</t>
  </si>
  <si>
    <t>   BSK-M-30/2017</t>
  </si>
  <si>
    <t>UJN-BSS-109/2017</t>
  </si>
  <si>
    <t>BSK-M-2/2017</t>
  </si>
  <si>
    <t>UJN-BSS-45/2017</t>
  </si>
  <si>
    <t>41 SU-672/2016</t>
  </si>
  <si>
    <t>BSK-M-240/2016</t>
  </si>
  <si>
    <t>UJN-BSS-71/2017</t>
  </si>
  <si>
    <t>UJN-BSS-491/2016</t>
  </si>
  <si>
    <t>UJN-BSS-488/2016</t>
  </si>
  <si>
    <t>UJN-BSS-218 /2016</t>
  </si>
  <si>
    <t>46431648</t>
  </si>
  <si>
    <t>406-01/16-06/04</t>
  </si>
  <si>
    <t>561-01-16-2572</t>
  </si>
  <si>
    <t>UJN-BSS-459/2016</t>
  </si>
  <si>
    <t>UJN-BSS-469/2016</t>
  </si>
  <si>
    <t>BSK-M-224/2016</t>
  </si>
  <si>
    <t>UJN-BSS-22/2017</t>
  </si>
  <si>
    <t>UJN-BSS-73/2017</t>
  </si>
  <si>
    <t>51/2016</t>
  </si>
  <si>
    <t>UJN-BSS-170/2017</t>
  </si>
  <si>
    <t>406-01/16-02/3</t>
  </si>
  <si>
    <t>357/2016</t>
  </si>
  <si>
    <t>UJN-BSS-470/2016</t>
  </si>
  <si>
    <t>UJN-BSS-461/2016</t>
  </si>
  <si>
    <t>UJN-BSS-/2016</t>
  </si>
  <si>
    <t>PO 36872/16</t>
  </si>
  <si>
    <t>UJN-BSS-460/2016</t>
  </si>
  <si>
    <t>U-OS 03/2016</t>
  </si>
  <si>
    <t>UJN-BSS-436/2016</t>
  </si>
  <si>
    <t>UJN-BSS-432/2016</t>
  </si>
  <si>
    <t>288-16</t>
  </si>
  <si>
    <t>UJN-BSS-422/2016</t>
  </si>
  <si>
    <t>UJN-BSS-425/2016</t>
  </si>
  <si>
    <t>UJN-BSS-404-2016 I UJN-BSS-200</t>
  </si>
  <si>
    <t>RA-16-03/17</t>
  </si>
  <si>
    <t>UJN-BSS-325/2016</t>
  </si>
  <si>
    <t>DP</t>
  </si>
  <si>
    <t>UJN-BSS-428/2016</t>
  </si>
  <si>
    <t>E-9/2015</t>
  </si>
  <si>
    <t>UJN-BSS42/2016</t>
  </si>
  <si>
    <t>UJN-BSS-373/2016</t>
  </si>
  <si>
    <t>UJN-BSS-157/2016</t>
  </si>
  <si>
    <t>UJN-BBS-368/2016</t>
  </si>
  <si>
    <t>UJN-BSS-187/2016</t>
  </si>
  <si>
    <t>UJN-BSS-356/2016</t>
  </si>
  <si>
    <t>UJN-BSS-358/2016</t>
  </si>
  <si>
    <t>BSK-M-164/2016</t>
  </si>
  <si>
    <t>41-SU-157/16</t>
  </si>
  <si>
    <t>UJN-BSS-191/2016</t>
  </si>
  <si>
    <t>212-2016</t>
  </si>
  <si>
    <t>UJN-BSS-329/2016</t>
  </si>
  <si>
    <t>UJN-BSS-66/2016</t>
  </si>
  <si>
    <t>UJN-BSS-307/2016</t>
  </si>
  <si>
    <t>BSK-M-163/2016</t>
  </si>
  <si>
    <t>UJN-BSS-323/2016</t>
  </si>
  <si>
    <t>MT/2016</t>
  </si>
  <si>
    <t>UJN-BSS-332/2016</t>
  </si>
  <si>
    <t>UJN-BSS-330/2016</t>
  </si>
  <si>
    <t>UJN-BSS-38/2016</t>
  </si>
  <si>
    <t>030-08/16-01/18</t>
  </si>
  <si>
    <t>UJN-BSS-57/2016</t>
  </si>
  <si>
    <t>UDUPGZ/6/16</t>
  </si>
  <si>
    <t>2/2016-2017</t>
  </si>
  <si>
    <t>UJN-BSS-149/2016</t>
  </si>
  <si>
    <t>UJN-BSS-324/2016</t>
  </si>
  <si>
    <t>UJN-BSS-325/2016-FOI</t>
  </si>
  <si>
    <t>404-01/16-01/9</t>
  </si>
  <si>
    <t>UJN-BSS-163/2016</t>
  </si>
  <si>
    <t>UJN-BSS-333/2016</t>
  </si>
  <si>
    <t>030-08/16-01/5</t>
  </si>
  <si>
    <t>UJN-BSS-327/2016</t>
  </si>
  <si>
    <t>UJN-BSS-156/2016</t>
  </si>
  <si>
    <t>OJN 02/16</t>
  </si>
  <si>
    <t>UJN-BSS-232/2016</t>
  </si>
  <si>
    <t>UJN-BSS-306/2016</t>
  </si>
  <si>
    <t>UJN-BSS-309/2016</t>
  </si>
  <si>
    <t>UJN-BSS-233/2016</t>
  </si>
  <si>
    <t>UJN-BSS-237/2016</t>
  </si>
  <si>
    <t>41 SU-115/15-46</t>
  </si>
  <si>
    <t>T-MOB.OKVIRNI SPOR.</t>
  </si>
  <si>
    <t>UJN-BBS-228/2016</t>
  </si>
  <si>
    <t>UJN-BSS-80/2016</t>
  </si>
  <si>
    <t>UJN-BSS-97/2016</t>
  </si>
  <si>
    <t>UJN-BSS-217/2016</t>
  </si>
  <si>
    <t>UJN-BSS-213/2016</t>
  </si>
  <si>
    <t>UJN-BSS-149/2016/APPRRR</t>
  </si>
  <si>
    <t>UJN-BSS-212/2016</t>
  </si>
  <si>
    <t>UJN-BSS-208/2016</t>
  </si>
  <si>
    <t>406-09/15-03/42</t>
  </si>
  <si>
    <t>UJN-BSS-130/2016</t>
  </si>
  <si>
    <t>UJN-BSS-206/2016</t>
  </si>
  <si>
    <t>UJN-BSS-190/2016</t>
  </si>
  <si>
    <t>UJN-BSS-140/2016</t>
  </si>
  <si>
    <t>UJN-BSS-143/2016</t>
  </si>
  <si>
    <t>193/2016</t>
  </si>
  <si>
    <t>N-PMF/16</t>
  </si>
  <si>
    <t>406-09/16-03/14</t>
  </si>
  <si>
    <t>UJN-BSS-12/2016</t>
  </si>
  <si>
    <t>UJN-BSS-219/2016</t>
  </si>
  <si>
    <t>UJN-BSS-159/2016</t>
  </si>
  <si>
    <t>UJN-BSS-64/2016</t>
  </si>
  <si>
    <t>UN_BSS-146/2016</t>
  </si>
  <si>
    <t>UJN-BSS-171/2016</t>
  </si>
  <si>
    <t>09-2015</t>
  </si>
  <si>
    <t>21/16</t>
  </si>
  <si>
    <t>UJN-BSS-164/2016</t>
  </si>
  <si>
    <t>UJN-BSS-166/2016</t>
  </si>
  <si>
    <t>MOBITEL-1</t>
  </si>
  <si>
    <t>UJN-BSS-167/2016</t>
  </si>
  <si>
    <t>BSK-M-63/2016</t>
  </si>
  <si>
    <t>BV-13/2016</t>
  </si>
  <si>
    <t>UJN-BSS-74/2016</t>
  </si>
  <si>
    <t>UJN-BSS-30/2016</t>
  </si>
  <si>
    <t>BSK-M-66/2016</t>
  </si>
  <si>
    <t>UJN-BSS-127/2016</t>
  </si>
  <si>
    <t>7-31/2016</t>
  </si>
  <si>
    <t>UJN-BSS-83/2016</t>
  </si>
  <si>
    <t>1HT</t>
  </si>
  <si>
    <t>UJN-BSS-48/2016</t>
  </si>
  <si>
    <t>UJN-BSS-170/2016</t>
  </si>
  <si>
    <t>UJN-BSS-37/2016</t>
  </si>
  <si>
    <t>UG.BSK-M-83/2016</t>
  </si>
  <si>
    <t>UJN-BSS-135/2016</t>
  </si>
  <si>
    <t>54-126/16</t>
  </si>
  <si>
    <t>UJN-BSS-123/2016</t>
  </si>
  <si>
    <t>UJN-BSS-93/2016</t>
  </si>
  <si>
    <t>UJN-BSS-137/2016</t>
  </si>
  <si>
    <t>UJN-BSS-85/2016</t>
  </si>
  <si>
    <t>3-2016</t>
  </si>
  <si>
    <t>15/16</t>
  </si>
  <si>
    <t>UJN-BSS-90/2016</t>
  </si>
  <si>
    <t>UJN-BSS-106/2016</t>
  </si>
  <si>
    <t>59/2016</t>
  </si>
  <si>
    <t>HT STIN</t>
  </si>
  <si>
    <t>UJN-BSS-67/2016</t>
  </si>
  <si>
    <t>UJN-BSS-70/2016</t>
  </si>
  <si>
    <t>UJN-BSS-101/2016</t>
  </si>
  <si>
    <t>41-SU-166/2016</t>
  </si>
  <si>
    <t>41-SU-191/2016</t>
  </si>
  <si>
    <t>UJN-BSS-96/2016</t>
  </si>
  <si>
    <t>UJN-BSS-98/2016</t>
  </si>
  <si>
    <t>UJN-BSS-60/2016</t>
  </si>
  <si>
    <t>T-1</t>
  </si>
  <si>
    <t>UJN-BSS-72/2016</t>
  </si>
  <si>
    <t>UJN BSS 75/2016</t>
  </si>
  <si>
    <t>BSK-M-44/2016</t>
  </si>
  <si>
    <t>2-DUSJN/2016</t>
  </si>
  <si>
    <t>UJN BSS-51/2016</t>
  </si>
  <si>
    <t>UJN-BSS-32/2016</t>
  </si>
  <si>
    <t>UJN-BSS-55/2016</t>
  </si>
  <si>
    <t>UJN-BSS-31/2016</t>
  </si>
  <si>
    <t>336/2016</t>
  </si>
  <si>
    <t>UJN-BSS-87/2016</t>
  </si>
  <si>
    <t>BSK-M-12/2016</t>
  </si>
  <si>
    <t>UJN-BSS-22/2016</t>
  </si>
  <si>
    <t>UJH-355-26/2016</t>
  </si>
  <si>
    <t>UJN-BSS-109/2016</t>
  </si>
  <si>
    <t>UJN-BSS-124/2016</t>
  </si>
  <si>
    <t>9/2015-B MOBILNA TELEFONIJA</t>
  </si>
  <si>
    <t>9/2015 B</t>
  </si>
  <si>
    <t>UJN-BSS-224/2016</t>
  </si>
  <si>
    <t>UJN-BSS-230/2016</t>
  </si>
  <si>
    <t>UJN-BSS-456/2016</t>
  </si>
  <si>
    <t>VG 9/2015-B</t>
  </si>
  <si>
    <t>UJN-BSS-501/2016</t>
  </si>
  <si>
    <t>UJN-BSS-372/2016</t>
  </si>
  <si>
    <t>9/2015B</t>
  </si>
  <si>
    <t>UJN-BSS-472/2016</t>
  </si>
  <si>
    <t>UJN-BSS-47/2017</t>
  </si>
  <si>
    <t>UJN-BSS-215/2017</t>
  </si>
  <si>
    <t>UJN-BSS-455/2016</t>
  </si>
  <si>
    <t>BSK-M-141/2016</t>
  </si>
  <si>
    <t>UJN-BSS-106/2017</t>
  </si>
  <si>
    <t xml:space="preserve">01.10.2017. </t>
  </si>
  <si>
    <t xml:space="preserve">17.10.2017. </t>
  </si>
  <si>
    <t xml:space="preserve">30.12.2017. </t>
  </si>
  <si>
    <t xml:space="preserve">31.10.2017. </t>
  </si>
  <si>
    <t xml:space="preserve">01.12.2017. </t>
  </si>
  <si>
    <t xml:space="preserve">13.10.2017. </t>
  </si>
  <si>
    <t xml:space="preserve">03.11.2017. </t>
  </si>
  <si>
    <t xml:space="preserve">06.10.2017. </t>
  </si>
  <si>
    <t xml:space="preserve">04.10.2017. </t>
  </si>
  <si>
    <t xml:space="preserve">14.09.2017. </t>
  </si>
  <si>
    <t xml:space="preserve">04.09.2017. </t>
  </si>
  <si>
    <t xml:space="preserve">31.08.2017. </t>
  </si>
  <si>
    <t xml:space="preserve">30.08.2017. </t>
  </si>
  <si>
    <t xml:space="preserve">23.08.2017. </t>
  </si>
  <si>
    <t xml:space="preserve">19.08.2017. </t>
  </si>
  <si>
    <t xml:space="preserve">31.07.2017. </t>
  </si>
  <si>
    <t xml:space="preserve">24.10.2017. </t>
  </si>
  <si>
    <t xml:space="preserve">10.07.2017. </t>
  </si>
  <si>
    <t xml:space="preserve">04.07.2017. </t>
  </si>
  <si>
    <t xml:space="preserve">01.07.2017. </t>
  </si>
  <si>
    <t xml:space="preserve">09.03.2017. </t>
  </si>
  <si>
    <t xml:space="preserve">31.05.2017. </t>
  </si>
  <si>
    <t xml:space="preserve">30.05.2017. </t>
  </si>
  <si>
    <t xml:space="preserve">24.05.2017. </t>
  </si>
  <si>
    <t xml:space="preserve">16.05.2017. </t>
  </si>
  <si>
    <t xml:space="preserve">13.05.2017. </t>
  </si>
  <si>
    <t xml:space="preserve">27.04.2017. </t>
  </si>
  <si>
    <t xml:space="preserve">22.04.2017. </t>
  </si>
  <si>
    <t xml:space="preserve">30.04.2017. </t>
  </si>
  <si>
    <t xml:space="preserve">17.04.2017. </t>
  </si>
  <si>
    <t xml:space="preserve">08.05.2017. </t>
  </si>
  <si>
    <t xml:space="preserve">13.04.2017. </t>
  </si>
  <si>
    <t xml:space="preserve">04.04.2017. </t>
  </si>
  <si>
    <t xml:space="preserve">03.04.2017. </t>
  </si>
  <si>
    <t xml:space="preserve">20.03.2017. </t>
  </si>
  <si>
    <t xml:space="preserve">01.04.2017. </t>
  </si>
  <si>
    <t xml:space="preserve">28.02.2017. </t>
  </si>
  <si>
    <t xml:space="preserve">17.02.2017. </t>
  </si>
  <si>
    <t xml:space="preserve">31.01.2017. </t>
  </si>
  <si>
    <t xml:space="preserve">01.02.2017. </t>
  </si>
  <si>
    <t xml:space="preserve">24.02.2017. </t>
  </si>
  <si>
    <t xml:space="preserve">23.02.2017. </t>
  </si>
  <si>
    <t xml:space="preserve">23.03.2017. </t>
  </si>
  <si>
    <t xml:space="preserve">02.06.2017. </t>
  </si>
  <si>
    <t xml:space="preserve">26.04.2017. </t>
  </si>
  <si>
    <t xml:space="preserve">11.04.2017. </t>
  </si>
  <si>
    <t xml:space="preserve">12.10.2017. </t>
  </si>
  <si>
    <t xml:space="preserve">18.03.2017. </t>
  </si>
  <si>
    <t xml:space="preserve">24.03.2017. </t>
  </si>
  <si>
    <t>37.931,45</t>
  </si>
  <si>
    <t>5.565,14</t>
  </si>
  <si>
    <t>22.550,88</t>
  </si>
  <si>
    <t>86.447,90</t>
  </si>
  <si>
    <t>14.535,02</t>
  </si>
  <si>
    <t>253.231,44</t>
  </si>
  <si>
    <t>8.472,14</t>
  </si>
  <si>
    <t>19.942,91</t>
  </si>
  <si>
    <t>5.108,75</t>
  </si>
  <si>
    <t>1.037,71</t>
  </si>
  <si>
    <t>1.984,21</t>
  </si>
  <si>
    <t>62.438,04</t>
  </si>
  <si>
    <t>104.006,29</t>
  </si>
  <si>
    <t>12.123,78</t>
  </si>
  <si>
    <t>9.022,02</t>
  </si>
  <si>
    <t>4.260,00</t>
  </si>
  <si>
    <t>43.732,04</t>
  </si>
  <si>
    <t>45.794,52</t>
  </si>
  <si>
    <t>205.829,38</t>
  </si>
  <si>
    <t>6.868,20</t>
  </si>
  <si>
    <t>58.262,61</t>
  </si>
  <si>
    <t>140.198,99</t>
  </si>
  <si>
    <t>2.739,72</t>
  </si>
  <si>
    <t>173.198,36</t>
  </si>
  <si>
    <t>71.851,21</t>
  </si>
  <si>
    <t>1.043,50</t>
  </si>
  <si>
    <t>10.538,74</t>
  </si>
  <si>
    <t>13.371,99</t>
  </si>
  <si>
    <t>35.104,37</t>
  </si>
  <si>
    <t>192.635,79</t>
  </si>
  <si>
    <t>4.447,12</t>
  </si>
  <si>
    <t>3.204,48</t>
  </si>
  <si>
    <t>3.965,34</t>
  </si>
  <si>
    <t>52.941,25</t>
  </si>
  <si>
    <t>7.837,72</t>
  </si>
  <si>
    <t>3.763,56</t>
  </si>
  <si>
    <t>26.857,65</t>
  </si>
  <si>
    <t>2.455,92</t>
  </si>
  <si>
    <t>4.169,06</t>
  </si>
  <si>
    <t>10.791,00</t>
  </si>
  <si>
    <t>1.266,34</t>
  </si>
  <si>
    <t>211.835,85</t>
  </si>
  <si>
    <t>720.754,03</t>
  </si>
  <si>
    <t>4.217,52</t>
  </si>
  <si>
    <t>3.177,62</t>
  </si>
  <si>
    <t>121.602,53</t>
  </si>
  <si>
    <t>30.007,12</t>
  </si>
  <si>
    <t>60.957,15</t>
  </si>
  <si>
    <t>76.135,68</t>
  </si>
  <si>
    <t>44.664,24</t>
  </si>
  <si>
    <t>3.950,63</t>
  </si>
  <si>
    <t>35.151,61</t>
  </si>
  <si>
    <t>2.410,12</t>
  </si>
  <si>
    <t>2.417,08</t>
  </si>
  <si>
    <t>615.124,63</t>
  </si>
  <si>
    <t>340.025,61</t>
  </si>
  <si>
    <t>125.969,70</t>
  </si>
  <si>
    <t>66.200,81</t>
  </si>
  <si>
    <t>104.783,95</t>
  </si>
  <si>
    <t>156.119,60</t>
  </si>
  <si>
    <t>1.902,36</t>
  </si>
  <si>
    <t>67.121,75</t>
  </si>
  <si>
    <t>92.485,55</t>
  </si>
  <si>
    <t>1.462,36</t>
  </si>
  <si>
    <t>123.548,00</t>
  </si>
  <si>
    <t>772.120,40</t>
  </si>
  <si>
    <t>386.554,50</t>
  </si>
  <si>
    <t>337.608,60</t>
  </si>
  <si>
    <t>231.691,06</t>
  </si>
  <si>
    <t>221.061,96</t>
  </si>
  <si>
    <t>305.021,61</t>
  </si>
  <si>
    <t>16.376,93</t>
  </si>
  <si>
    <t>278.671,54</t>
  </si>
  <si>
    <t>4.258,32</t>
  </si>
  <si>
    <t>14.731,56</t>
  </si>
  <si>
    <t>107.851,85</t>
  </si>
  <si>
    <t>194.792,78</t>
  </si>
  <si>
    <t>73.073,18</t>
  </si>
  <si>
    <t>27.576,06</t>
  </si>
  <si>
    <t>8.163,35</t>
  </si>
  <si>
    <t>72.850,51</t>
  </si>
  <si>
    <t>78.386,30</t>
  </si>
  <si>
    <t>4.359,03</t>
  </si>
  <si>
    <t>18.833,15</t>
  </si>
  <si>
    <t>100.276,22</t>
  </si>
  <si>
    <t>26.396,12</t>
  </si>
  <si>
    <t>5.976,70</t>
  </si>
  <si>
    <t>53.477,89</t>
  </si>
  <si>
    <t>64.650,78</t>
  </si>
  <si>
    <t>333.430,34</t>
  </si>
  <si>
    <t>186.300,68</t>
  </si>
  <si>
    <t>82.455,43</t>
  </si>
  <si>
    <t>29.938,21</t>
  </si>
  <si>
    <t>173.104,61</t>
  </si>
  <si>
    <t>18.776,78</t>
  </si>
  <si>
    <t>445.937,24</t>
  </si>
  <si>
    <t>18.623,41</t>
  </si>
  <si>
    <t>17.594,42</t>
  </si>
  <si>
    <t>432.972,88</t>
  </si>
  <si>
    <t>166.593,40</t>
  </si>
  <si>
    <t>194.705,96</t>
  </si>
  <si>
    <t>1.664,56</t>
  </si>
  <si>
    <t>1.360,12</t>
  </si>
  <si>
    <t>11.167,34</t>
  </si>
  <si>
    <t>11.666,88</t>
  </si>
  <si>
    <t>925.351,45</t>
  </si>
  <si>
    <t>1.557,70</t>
  </si>
  <si>
    <t>117.041,07</t>
  </si>
  <si>
    <t>15.903,00</t>
  </si>
  <si>
    <t>28.826,06</t>
  </si>
  <si>
    <t>9.733.999,26</t>
  </si>
  <si>
    <t>4.758,90</t>
  </si>
  <si>
    <t>43.573,27</t>
  </si>
  <si>
    <t>14.849,55</t>
  </si>
  <si>
    <t>1.351,20</t>
  </si>
  <si>
    <t>55.009,46</t>
  </si>
  <si>
    <t>40.738,97</t>
  </si>
  <si>
    <t>1.087,95</t>
  </si>
  <si>
    <t>11.247,30</t>
  </si>
  <si>
    <t>0,62</t>
  </si>
  <si>
    <t>109.497,65</t>
  </si>
  <si>
    <t>155.130,00</t>
  </si>
  <si>
    <t>2.586,04</t>
  </si>
  <si>
    <t>23.351,39</t>
  </si>
  <si>
    <t>52.351,95</t>
  </si>
  <si>
    <t>516.569,94</t>
  </si>
  <si>
    <t>1.833,88</t>
  </si>
  <si>
    <t>29.750,82</t>
  </si>
  <si>
    <t>1.950,27</t>
  </si>
  <si>
    <t>262.089,94</t>
  </si>
  <si>
    <t>23.375,30</t>
  </si>
  <si>
    <t>25.096,32</t>
  </si>
  <si>
    <t>167.392,34</t>
  </si>
  <si>
    <t>3.217,78</t>
  </si>
  <si>
    <t>63.697,52</t>
  </si>
  <si>
    <t>49.982,81</t>
  </si>
  <si>
    <t>17.774,17</t>
  </si>
  <si>
    <t>10.628,15</t>
  </si>
  <si>
    <t>202.481,49</t>
  </si>
  <si>
    <t>6.450,59</t>
  </si>
  <si>
    <t>12.470,00</t>
  </si>
  <si>
    <t>4.005,66</t>
  </si>
  <si>
    <t>608,54</t>
  </si>
  <si>
    <t>1.213,51</t>
  </si>
  <si>
    <t>1.100,90</t>
  </si>
  <si>
    <t>4.635,27</t>
  </si>
  <si>
    <t>430.419,50</t>
  </si>
  <si>
    <t>1.673.242,28</t>
  </si>
  <si>
    <t>26.333,32</t>
  </si>
  <si>
    <t>42.984,56</t>
  </si>
  <si>
    <t>48.478,70</t>
  </si>
  <si>
    <t>2.241,00</t>
  </si>
  <si>
    <t>6.619,97</t>
  </si>
  <si>
    <t>968.390,30</t>
  </si>
  <si>
    <t>2.734.920,84</t>
  </si>
  <si>
    <t>7.635,54</t>
  </si>
  <si>
    <t>10.719,02</t>
  </si>
  <si>
    <t>16.484,20</t>
  </si>
  <si>
    <t>8.331,65</t>
  </si>
  <si>
    <t>32.500,37</t>
  </si>
  <si>
    <t>190.243,75</t>
  </si>
  <si>
    <t>4.432,01</t>
  </si>
  <si>
    <t>106.996,26</t>
  </si>
  <si>
    <t>4.732,65</t>
  </si>
  <si>
    <t>162.443,10</t>
  </si>
  <si>
    <t>4.984,87</t>
  </si>
  <si>
    <t>24.872,96</t>
  </si>
  <si>
    <t>1.529,92</t>
  </si>
  <si>
    <t>33.528,13</t>
  </si>
  <si>
    <t>4.418.539,79</t>
  </si>
  <si>
    <t>2.615,65</t>
  </si>
  <si>
    <t>31.199,33</t>
  </si>
  <si>
    <t>1.280.911,56</t>
  </si>
  <si>
    <t>298.579,40</t>
  </si>
  <si>
    <t>114.815,54</t>
  </si>
  <si>
    <t>109.433,50</t>
  </si>
  <si>
    <t>1.753.657,07</t>
  </si>
  <si>
    <t>1.449.611,98</t>
  </si>
  <si>
    <t>2.532,97</t>
  </si>
  <si>
    <t>32.712,71</t>
  </si>
  <si>
    <t>6.540,65</t>
  </si>
  <si>
    <t>57.672,60</t>
  </si>
  <si>
    <t>4.365,32</t>
  </si>
  <si>
    <t>2.166,42</t>
  </si>
  <si>
    <t>29.625,89</t>
  </si>
  <si>
    <t>61.928,47</t>
  </si>
  <si>
    <t>4.606,18</t>
  </si>
  <si>
    <t>2.317,90</t>
  </si>
  <si>
    <t>14.949,82</t>
  </si>
  <si>
    <t>26.184,94</t>
  </si>
  <si>
    <t>1.279,29</t>
  </si>
  <si>
    <t>46.718,12</t>
  </si>
  <si>
    <t>4.290,94</t>
  </si>
  <si>
    <t>18.703,54</t>
  </si>
  <si>
    <t>179.180,47</t>
  </si>
  <si>
    <t>21.937,38</t>
  </si>
  <si>
    <t>6.917,10</t>
  </si>
  <si>
    <t>4.020,35</t>
  </si>
  <si>
    <t>23.644,01</t>
  </si>
  <si>
    <t>33.576,79</t>
  </si>
  <si>
    <t>11.130,54</t>
  </si>
  <si>
    <t>13.210,30</t>
  </si>
  <si>
    <t>116.180,20</t>
  </si>
  <si>
    <t>44.026,10</t>
  </si>
  <si>
    <t>21.328,45</t>
  </si>
  <si>
    <t>59.363,62</t>
  </si>
  <si>
    <t>19.315,66</t>
  </si>
  <si>
    <t>25.012,01</t>
  </si>
  <si>
    <t>128.645,05</t>
  </si>
  <si>
    <t>16.070,59</t>
  </si>
  <si>
    <t>3.421,68</t>
  </si>
  <si>
    <t>13.764,60</t>
  </si>
  <si>
    <t>25.402,54</t>
  </si>
  <si>
    <t>399.905,63</t>
  </si>
  <si>
    <t>5.908,29</t>
  </si>
  <si>
    <t>3.445,93</t>
  </si>
  <si>
    <t>27.037,89</t>
  </si>
  <si>
    <t>4.978,56</t>
  </si>
  <si>
    <t>7.986,37</t>
  </si>
  <si>
    <t>42.704,95</t>
  </si>
  <si>
    <t>12.992,23</t>
  </si>
  <si>
    <t>5.260,39</t>
  </si>
  <si>
    <t>13.042,36</t>
  </si>
  <si>
    <t>28.058,58</t>
  </si>
  <si>
    <t>84.223,32</t>
  </si>
  <si>
    <t>4.468,89</t>
  </si>
  <si>
    <t>60.526,75</t>
  </si>
  <si>
    <t>8.606,14</t>
  </si>
  <si>
    <t>4.369,10</t>
  </si>
  <si>
    <t>2.093,82</t>
  </si>
  <si>
    <t>4.538.648,35</t>
  </si>
  <si>
    <t>128.477,19</t>
  </si>
  <si>
    <t>41.512,57</t>
  </si>
  <si>
    <t>3.989,62</t>
  </si>
  <si>
    <t>2.417,21</t>
  </si>
  <si>
    <t>2.321,15</t>
  </si>
  <si>
    <t>37.495,85</t>
  </si>
  <si>
    <t>8.910,40</t>
  </si>
  <si>
    <t>966.215,12</t>
  </si>
  <si>
    <t>497.307,01</t>
  </si>
  <si>
    <t>100.165,22</t>
  </si>
  <si>
    <t>273.573,04</t>
  </si>
  <si>
    <t>2.571,20</t>
  </si>
  <si>
    <t>69.679,11</t>
  </si>
  <si>
    <t>221.941,94</t>
  </si>
  <si>
    <t>22.690,40</t>
  </si>
  <si>
    <t>5.682,71</t>
  </si>
  <si>
    <t>1.470,03</t>
  </si>
  <si>
    <t>13.667,68</t>
  </si>
  <si>
    <t>140.163,82</t>
  </si>
  <si>
    <t>1.375.050,23</t>
  </si>
  <si>
    <t>61.709,56</t>
  </si>
  <si>
    <t>164.310,65</t>
  </si>
  <si>
    <t>28.697,59</t>
  </si>
  <si>
    <t>810.785,93</t>
  </si>
  <si>
    <t>676,15</t>
  </si>
  <si>
    <t>41.299,24</t>
  </si>
  <si>
    <t>6.160,66</t>
  </si>
  <si>
    <t>278.892,78</t>
  </si>
  <si>
    <t>5.444.139,50</t>
  </si>
  <si>
    <t>677.039,65</t>
  </si>
  <si>
    <t>58.037,02</t>
  </si>
  <si>
    <t>338.619,30</t>
  </si>
  <si>
    <t>90.013,92</t>
  </si>
  <si>
    <t>22.125,22</t>
  </si>
  <si>
    <t>252.244,89</t>
  </si>
  <si>
    <t>364.069,68</t>
  </si>
  <si>
    <t>12.606,45</t>
  </si>
  <si>
    <t>32.580,11</t>
  </si>
  <si>
    <t>50.711,59</t>
  </si>
  <si>
    <t>18.275,19</t>
  </si>
  <si>
    <t>1.014.413,51</t>
  </si>
  <si>
    <t>42.383,98</t>
  </si>
  <si>
    <t>45.702,52</t>
  </si>
  <si>
    <t>1.513.513,96</t>
  </si>
  <si>
    <t>4.106,74</t>
  </si>
  <si>
    <t>2.055,03</t>
  </si>
  <si>
    <t>12.343,86</t>
  </si>
  <si>
    <t>85.515,61</t>
  </si>
  <si>
    <t>32.453,80</t>
  </si>
  <si>
    <t>40.106,23</t>
  </si>
  <si>
    <t>14.876,02</t>
  </si>
  <si>
    <t>82.777,22</t>
  </si>
  <si>
    <t>7.108,12</t>
  </si>
  <si>
    <t>76.926,52</t>
  </si>
  <si>
    <t>45.488,22</t>
  </si>
  <si>
    <t>36.968,33</t>
  </si>
  <si>
    <t>3.535,25</t>
  </si>
  <si>
    <t>11.466,46</t>
  </si>
  <si>
    <t>2.301,51</t>
  </si>
  <si>
    <t>1.533.118,54</t>
  </si>
  <si>
    <t>114.680,71</t>
  </si>
  <si>
    <t>119.215,19</t>
  </si>
  <si>
    <t>530.689,86</t>
  </si>
  <si>
    <t>3.924.970,41</t>
  </si>
  <si>
    <t>557.929,34</t>
  </si>
  <si>
    <t>31.097,11</t>
  </si>
  <si>
    <t>287.864,69</t>
  </si>
  <si>
    <t>95.773,84</t>
  </si>
  <si>
    <t>156.882,34</t>
  </si>
  <si>
    <t>15.828,00</t>
  </si>
  <si>
    <t>17.328,03</t>
  </si>
  <si>
    <t>7.476,78</t>
  </si>
  <si>
    <t>152.468.871,70</t>
  </si>
  <si>
    <t>58.973,76</t>
  </si>
  <si>
    <t>12.174,43</t>
  </si>
  <si>
    <t>52.343,99</t>
  </si>
  <si>
    <t>7.190,40</t>
  </si>
  <si>
    <t>92.758,19</t>
  </si>
  <si>
    <t>463.626,35</t>
  </si>
  <si>
    <t>41.010,83</t>
  </si>
  <si>
    <t>235.145,26</t>
  </si>
  <si>
    <t>2.850,73</t>
  </si>
  <si>
    <t>181.619,10</t>
  </si>
  <si>
    <t>157.148,28</t>
  </si>
  <si>
    <t>65.191,58</t>
  </si>
  <si>
    <t>4.953,82</t>
  </si>
  <si>
    <t>214.610,79</t>
  </si>
  <si>
    <t>38.194,66</t>
  </si>
  <si>
    <t>239,54</t>
  </si>
  <si>
    <t>16.503,44</t>
  </si>
  <si>
    <t>37.170,44</t>
  </si>
  <si>
    <t>31.930,00</t>
  </si>
  <si>
    <t>315.638,40</t>
  </si>
  <si>
    <t>442.765,84</t>
  </si>
  <si>
    <t>298.505,84</t>
  </si>
  <si>
    <t>5.290,99</t>
  </si>
  <si>
    <t>21.068,43</t>
  </si>
  <si>
    <t>3.097,15</t>
  </si>
  <si>
    <t>6.480,34</t>
  </si>
  <si>
    <t>97.716,15</t>
  </si>
  <si>
    <t>14.339,09</t>
  </si>
  <si>
    <t>124.753,49</t>
  </si>
  <si>
    <t>28.987,31</t>
  </si>
  <si>
    <t>64.075,76</t>
  </si>
  <si>
    <t>29.454,79</t>
  </si>
  <si>
    <t>49.726,09</t>
  </si>
  <si>
    <t>1.039,90</t>
  </si>
  <si>
    <t>111.444,66</t>
  </si>
  <si>
    <t>1.769,60</t>
  </si>
  <si>
    <t>52.255,01</t>
  </si>
  <si>
    <t>1.014.474,32</t>
  </si>
  <si>
    <t>32.207,13</t>
  </si>
  <si>
    <t>230.092,02</t>
  </si>
  <si>
    <t>2.172.076,97</t>
  </si>
  <si>
    <t>205.177,88</t>
  </si>
  <si>
    <t>28.851,26</t>
  </si>
  <si>
    <t>538.634,78</t>
  </si>
  <si>
    <t>118.572,33</t>
  </si>
  <si>
    <t>888,75</t>
  </si>
  <si>
    <t>174.274,97</t>
  </si>
  <si>
    <t>602.494,19</t>
  </si>
  <si>
    <t>59.488,57</t>
  </si>
  <si>
    <t>5.719,59</t>
  </si>
  <si>
    <t>116.193,00</t>
  </si>
  <si>
    <t>11.320,16</t>
  </si>
  <si>
    <t>13.417,40</t>
  </si>
  <si>
    <t>2.405.704,65</t>
  </si>
  <si>
    <t>15.246,42</t>
  </si>
  <si>
    <t>16.232,33</t>
  </si>
  <si>
    <t>6.196,49</t>
  </si>
  <si>
    <t>77.600,50</t>
  </si>
  <si>
    <t>27.775,95</t>
  </si>
  <si>
    <t>107.766,98</t>
  </si>
  <si>
    <t>87.846,97</t>
  </si>
  <si>
    <t>19.133,76</t>
  </si>
  <si>
    <t>48.099,80</t>
  </si>
  <si>
    <t>12.672,59</t>
  </si>
  <si>
    <t>130.658,92</t>
  </si>
  <si>
    <t>4.985,57</t>
  </si>
  <si>
    <t>23.862,39</t>
  </si>
  <si>
    <t>402.905,52</t>
  </si>
  <si>
    <t>18.405,37</t>
  </si>
  <si>
    <t>86.608,04</t>
  </si>
  <si>
    <t>169.936,34</t>
  </si>
  <si>
    <t>525.956,26</t>
  </si>
  <si>
    <t>35.159,59</t>
  </si>
  <si>
    <t>1.148.379,80</t>
  </si>
  <si>
    <t>4.790,39</t>
  </si>
  <si>
    <t>1.202.510,70</t>
  </si>
  <si>
    <t>15.880,40</t>
  </si>
  <si>
    <t>13.691,51</t>
  </si>
  <si>
    <t>8.087,45</t>
  </si>
  <si>
    <t>118.602,50</t>
  </si>
  <si>
    <t>32.974,07</t>
  </si>
  <si>
    <t>220,00</t>
  </si>
  <si>
    <t>2.919,80</t>
  </si>
  <si>
    <t>52.273,80</t>
  </si>
  <si>
    <t>2.650,67</t>
  </si>
  <si>
    <t>297.052,86</t>
  </si>
  <si>
    <t>212.299,51</t>
  </si>
  <si>
    <t>27.221,38</t>
  </si>
  <si>
    <t>3.570,32</t>
  </si>
  <si>
    <t>15.892,95</t>
  </si>
  <si>
    <t>53.432,18</t>
  </si>
  <si>
    <t>42.373,14</t>
  </si>
  <si>
    <t>104.828,39</t>
  </si>
  <si>
    <t>345.386,02</t>
  </si>
  <si>
    <t>6.114,24</t>
  </si>
  <si>
    <t>5.040,08</t>
  </si>
  <si>
    <t>25.238,28</t>
  </si>
  <si>
    <t>116.438,84</t>
  </si>
  <si>
    <t>600,54</t>
  </si>
  <si>
    <t>4.770,96</t>
  </si>
  <si>
    <t>230.259,80</t>
  </si>
  <si>
    <t>45.841,83</t>
  </si>
  <si>
    <t>941,36</t>
  </si>
  <si>
    <t>104.284,58</t>
  </si>
  <si>
    <t>67.966,06</t>
  </si>
  <si>
    <t>766,80</t>
  </si>
  <si>
    <t>51.160,44</t>
  </si>
  <si>
    <t>42.329,80</t>
  </si>
  <si>
    <t>10.303,42</t>
  </si>
  <si>
    <t>141.395,06</t>
  </si>
  <si>
    <t>75.896,45</t>
  </si>
  <si>
    <t>31.572,07</t>
  </si>
  <si>
    <t>225.375,04</t>
  </si>
  <si>
    <t>17.159,51</t>
  </si>
  <si>
    <t>69.164,18</t>
  </si>
  <si>
    <t>107.456,47</t>
  </si>
  <si>
    <t>201.303,15</t>
  </si>
  <si>
    <t>6.978,29</t>
  </si>
  <si>
    <t>2.131,33</t>
  </si>
  <si>
    <t>3.493,88</t>
  </si>
  <si>
    <t>12.314,31</t>
  </si>
  <si>
    <t>66.655,79</t>
  </si>
  <si>
    <t>189.680,02</t>
  </si>
  <si>
    <t>21.480,62</t>
  </si>
  <si>
    <t>256.869,68</t>
  </si>
  <si>
    <t>74.791,01</t>
  </si>
  <si>
    <t>367.445,98</t>
  </si>
  <si>
    <t>11.073,82</t>
  </si>
  <si>
    <t>31.201,19</t>
  </si>
  <si>
    <t>1.135.553,33</t>
  </si>
  <si>
    <t>5.640,70</t>
  </si>
  <si>
    <t>36.189,44</t>
  </si>
  <si>
    <t>22.135,60</t>
  </si>
  <si>
    <t>9.759,54</t>
  </si>
  <si>
    <t>109.660,18</t>
  </si>
  <si>
    <t>1.961,94</t>
  </si>
  <si>
    <t>23.488,42</t>
  </si>
  <si>
    <t>4.619,27</t>
  </si>
  <si>
    <t>4.525,36</t>
  </si>
  <si>
    <t>165.264,76</t>
  </si>
  <si>
    <t>199.165,35</t>
  </si>
  <si>
    <t>1.283.077,06</t>
  </si>
  <si>
    <t>74.288,50</t>
  </si>
  <si>
    <t>31.287,88</t>
  </si>
  <si>
    <t>52.888,45</t>
  </si>
  <si>
    <t>589.713,92</t>
  </si>
  <si>
    <t>26.027,45</t>
  </si>
  <si>
    <t>29.585,58</t>
  </si>
  <si>
    <t>198.531,40</t>
  </si>
  <si>
    <t>2.697,26</t>
  </si>
  <si>
    <t>11.680,49</t>
  </si>
  <si>
    <t>46.242,14</t>
  </si>
  <si>
    <t>100.707,49</t>
  </si>
  <si>
    <t>404.292,98</t>
  </si>
  <si>
    <t>70.858,26</t>
  </si>
  <si>
    <t>22.992,64</t>
  </si>
  <si>
    <t>60.315,26</t>
  </si>
  <si>
    <t>10.656,21</t>
  </si>
  <si>
    <t>18.738,97</t>
  </si>
  <si>
    <t>11.207,88</t>
  </si>
  <si>
    <t>97.500,74</t>
  </si>
  <si>
    <t>45.089,20</t>
  </si>
  <si>
    <t>1.400,25</t>
  </si>
  <si>
    <t>20.663,10</t>
  </si>
  <si>
    <t>339.921,74</t>
  </si>
  <si>
    <t>67.078,89</t>
  </si>
  <si>
    <t>98.117,26</t>
  </si>
  <si>
    <t>24.068,64</t>
  </si>
  <si>
    <t>31.421,14</t>
  </si>
  <si>
    <t>2.260,79</t>
  </si>
  <si>
    <t>5.891,77</t>
  </si>
  <si>
    <t>2.276,14</t>
  </si>
  <si>
    <t>116.073,78</t>
  </si>
  <si>
    <t>13.230,50</t>
  </si>
  <si>
    <t>6.092,60</t>
  </si>
  <si>
    <t>72.083,94</t>
  </si>
  <si>
    <t>344.447,44</t>
  </si>
  <si>
    <t>35.029,49</t>
  </si>
  <si>
    <t>98.020,01</t>
  </si>
  <si>
    <t>29.955,32</t>
  </si>
  <si>
    <t>58.775,15</t>
  </si>
  <si>
    <t>20.791,33</t>
  </si>
  <si>
    <t>11.685,49</t>
  </si>
  <si>
    <t>30.302,22</t>
  </si>
  <si>
    <t>2.742,50</t>
  </si>
  <si>
    <t>171.958,12</t>
  </si>
  <si>
    <t>3.495,37</t>
  </si>
  <si>
    <t>19.715,49</t>
  </si>
  <si>
    <t>2.012,45</t>
  </si>
  <si>
    <t>26.795,39</t>
  </si>
  <si>
    <t>7.882,10</t>
  </si>
  <si>
    <t>764.342,07</t>
  </si>
  <si>
    <t>19.496,70</t>
  </si>
  <si>
    <t>5.415,04</t>
  </si>
  <si>
    <t>340.218,68</t>
  </si>
  <si>
    <t>4.030,38</t>
  </si>
  <si>
    <t>10.545,95</t>
  </si>
  <si>
    <t>10.404,32</t>
  </si>
  <si>
    <t>84.254,64</t>
  </si>
  <si>
    <t>5.281,13</t>
  </si>
  <si>
    <t>5.548,75</t>
  </si>
  <si>
    <t>94.521,15</t>
  </si>
  <si>
    <t>73.031,92</t>
  </si>
  <si>
    <t>12.752,91</t>
  </si>
  <si>
    <t xml:space="preserve">* za polja označenima sivom bojom korisnici nisu dostavili podatak o realizaciji ugovora/narudžbenice </t>
  </si>
  <si>
    <t>OKVIRNI SPORAZUM - Opskrba električnom energijom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</si>
</sst>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27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14" applyNumberFormat="0" applyAlignment="0" applyProtection="0"/>
    <xf numFmtId="0" fontId="19" fillId="12" borderId="15" applyNumberFormat="0" applyAlignment="0" applyProtection="0"/>
    <xf numFmtId="0" fontId="20" fillId="12" borderId="14" applyNumberFormat="0" applyAlignment="0" applyProtection="0"/>
    <xf numFmtId="0" fontId="21" fillId="0" borderId="16" applyNumberFormat="0" applyFill="0" applyAlignment="0" applyProtection="0"/>
    <xf numFmtId="0" fontId="22" fillId="13" borderId="17" applyNumberFormat="0" applyAlignment="0" applyProtection="0"/>
    <xf numFmtId="0" fontId="23" fillId="0" borderId="0" applyNumberFormat="0" applyFill="0" applyBorder="0" applyAlignment="0" applyProtection="0"/>
    <xf numFmtId="0" fontId="4" fillId="14" borderId="1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6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6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6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26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26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</cellStyleXfs>
  <cellXfs count="20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" fontId="3" fillId="5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center" vertical="center" wrapText="1"/>
    </xf>
    <xf numFmtId="14" fontId="3" fillId="5" borderId="2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17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3" fillId="5" borderId="4" xfId="0" applyNumberFormat="1" applyFont="1" applyFill="1" applyBorder="1" applyAlignment="1">
      <alignment horizontal="right" vertical="center" wrapText="1"/>
    </xf>
    <xf numFmtId="0" fontId="5" fillId="6" borderId="5" xfId="0" applyFont="1" applyFill="1" applyBorder="1" applyAlignment="1">
      <alignment horizontal="left" vertical="center" wrapText="1"/>
    </xf>
    <xf numFmtId="4" fontId="6" fillId="0" borderId="5" xfId="1" applyNumberFormat="1" applyFont="1" applyFill="1" applyBorder="1" applyAlignment="1">
      <alignment vertical="center"/>
    </xf>
    <xf numFmtId="0" fontId="0" fillId="0" borderId="0" xfId="0" applyBorder="1"/>
    <xf numFmtId="4" fontId="3" fillId="5" borderId="0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17" fontId="1" fillId="0" borderId="3" xfId="0" applyNumberFormat="1" applyFont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0" fillId="0" borderId="0" xfId="0" applyFont="1"/>
    <xf numFmtId="0" fontId="3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14" fontId="3" fillId="5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17" fontId="1" fillId="0" borderId="5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4" fontId="3" fillId="5" borderId="6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  <xf numFmtId="4" fontId="3" fillId="5" borderId="7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1" xfId="0" applyBorder="1"/>
    <xf numFmtId="0" fontId="1" fillId="0" borderId="0" xfId="0" applyFont="1" applyFill="1" applyBorder="1" applyAlignment="1">
      <alignment vertical="center" wrapText="1"/>
    </xf>
    <xf numFmtId="4" fontId="3" fillId="5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14" fontId="3" fillId="5" borderId="2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wrapText="1"/>
    </xf>
    <xf numFmtId="0" fontId="1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5" borderId="2" xfId="0" applyNumberFormat="1" applyFont="1" applyFill="1" applyBorder="1" applyAlignment="1">
      <alignment vertical="center" wrapText="1"/>
    </xf>
    <xf numFmtId="4" fontId="9" fillId="0" borderId="2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/>
    </xf>
    <xf numFmtId="0" fontId="10" fillId="0" borderId="0" xfId="0" applyFont="1"/>
    <xf numFmtId="0" fontId="1" fillId="0" borderId="8" xfId="0" applyFont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5" borderId="3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4" fontId="3" fillId="5" borderId="4" xfId="0" applyNumberFormat="1" applyFont="1" applyFill="1" applyBorder="1" applyAlignment="1">
      <alignment horizontal="center" vertical="center" wrapText="1"/>
    </xf>
    <xf numFmtId="4" fontId="3" fillId="5" borderId="4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0" fontId="3" fillId="5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4" fontId="3" fillId="5" borderId="0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4" fontId="1" fillId="5" borderId="1" xfId="0" applyNumberFormat="1" applyFont="1" applyFill="1" applyBorder="1" applyAlignment="1">
      <alignment horizontal="right" vertical="center" wrapText="1"/>
    </xf>
    <xf numFmtId="14" fontId="3" fillId="5" borderId="2" xfId="0" applyNumberFormat="1" applyFont="1" applyFill="1" applyBorder="1" applyAlignment="1">
      <alignment wrapText="1"/>
    </xf>
    <xf numFmtId="4" fontId="3" fillId="5" borderId="2" xfId="0" applyNumberFormat="1" applyFont="1" applyFill="1" applyBorder="1" applyAlignment="1">
      <alignment horizontal="right" wrapText="1"/>
    </xf>
    <xf numFmtId="4" fontId="1" fillId="5" borderId="2" xfId="0" applyNumberFormat="1" applyFont="1" applyFill="1" applyBorder="1" applyAlignment="1">
      <alignment horizontal="righ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 wrapText="1"/>
    </xf>
    <xf numFmtId="14" fontId="3" fillId="5" borderId="4" xfId="0" applyNumberFormat="1" applyFont="1" applyFill="1" applyBorder="1" applyAlignment="1">
      <alignment horizontal="center" vertical="center" wrapText="1"/>
    </xf>
    <xf numFmtId="4" fontId="3" fillId="5" borderId="4" xfId="0" applyNumberFormat="1" applyFont="1" applyFill="1" applyBorder="1" applyAlignment="1">
      <alignment horizontal="right" vertical="center" wrapText="1"/>
    </xf>
    <xf numFmtId="4" fontId="3" fillId="5" borderId="6" xfId="0" applyNumberFormat="1" applyFont="1" applyFill="1" applyBorder="1" applyAlignment="1">
      <alignment horizontal="right" vertical="center" wrapText="1"/>
    </xf>
    <xf numFmtId="4" fontId="3" fillId="5" borderId="1" xfId="0" applyNumberFormat="1" applyFont="1" applyFill="1" applyBorder="1" applyAlignment="1">
      <alignment horizontal="right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0" fillId="0" borderId="0" xfId="0" applyNumberFormat="1"/>
    <xf numFmtId="4" fontId="1" fillId="0" borderId="4" xfId="0" applyNumberFormat="1" applyFont="1" applyFill="1" applyBorder="1" applyAlignment="1">
      <alignment vertical="center" wrapText="1"/>
    </xf>
    <xf numFmtId="4" fontId="8" fillId="0" borderId="2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/>
    </xf>
    <xf numFmtId="4" fontId="3" fillId="5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 wrapText="1"/>
    </xf>
    <xf numFmtId="14" fontId="3" fillId="5" borderId="4" xfId="0" applyNumberFormat="1" applyFont="1" applyFill="1" applyBorder="1" applyAlignment="1">
      <alignment horizontal="center" vertical="center" wrapText="1"/>
    </xf>
    <xf numFmtId="14" fontId="3" fillId="5" borderId="6" xfId="0" applyNumberFormat="1" applyFont="1" applyFill="1" applyBorder="1" applyAlignment="1">
      <alignment horizontal="center" vertical="center" wrapText="1"/>
    </xf>
    <xf numFmtId="4" fontId="3" fillId="5" borderId="4" xfId="0" applyNumberFormat="1" applyFont="1" applyFill="1" applyBorder="1" applyAlignment="1">
      <alignment vertical="center" wrapText="1"/>
    </xf>
    <xf numFmtId="4" fontId="3" fillId="5" borderId="4" xfId="0" applyNumberFormat="1" applyFont="1" applyFill="1" applyBorder="1" applyAlignment="1">
      <alignment horizontal="right" vertical="center" wrapText="1"/>
    </xf>
    <xf numFmtId="4" fontId="3" fillId="5" borderId="6" xfId="0" applyNumberFormat="1" applyFont="1" applyFill="1" applyBorder="1" applyAlignment="1">
      <alignment horizontal="right" vertical="center" wrapText="1"/>
    </xf>
    <xf numFmtId="4" fontId="3" fillId="5" borderId="1" xfId="0" applyNumberFormat="1" applyFont="1" applyFill="1" applyBorder="1" applyAlignment="1">
      <alignment horizontal="right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4" fontId="3" fillId="5" borderId="23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" fontId="1" fillId="5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4" fontId="3" fillId="0" borderId="8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Fill="1" applyBorder="1" applyAlignment="1">
      <alignment horizontal="right" vertical="center" wrapText="1"/>
    </xf>
    <xf numFmtId="4" fontId="3" fillId="5" borderId="25" xfId="0" applyNumberFormat="1" applyFont="1" applyFill="1" applyBorder="1" applyAlignment="1">
      <alignment horizontal="right" vertical="center" wrapText="1"/>
    </xf>
    <xf numFmtId="4" fontId="1" fillId="5" borderId="7" xfId="0" applyNumberFormat="1" applyFont="1" applyFill="1" applyBorder="1" applyAlignment="1">
      <alignment horizontal="right" vertical="center" wrapText="1"/>
    </xf>
    <xf numFmtId="4" fontId="3" fillId="5" borderId="10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4" fontId="0" fillId="0" borderId="0" xfId="0" applyNumberFormat="1" applyBorder="1" applyAlignment="1">
      <alignment wrapText="1"/>
    </xf>
    <xf numFmtId="0" fontId="0" fillId="0" borderId="0" xfId="0" applyBorder="1" applyAlignment="1">
      <alignment vertical="center"/>
    </xf>
    <xf numFmtId="4" fontId="6" fillId="0" borderId="2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right" vertical="center"/>
    </xf>
    <xf numFmtId="14" fontId="3" fillId="3" borderId="7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3" fillId="5" borderId="23" xfId="0" applyFont="1" applyFill="1" applyBorder="1" applyAlignment="1">
      <alignment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" fontId="1" fillId="0" borderId="8" xfId="0" applyNumberFormat="1" applyFont="1" applyBorder="1" applyAlignment="1">
      <alignment horizontal="center" vertical="center" wrapText="1"/>
    </xf>
    <xf numFmtId="17" fontId="1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right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20" xfId="0" applyFont="1" applyFill="1" applyBorder="1" applyAlignment="1">
      <alignment horizontal="right" vertical="center"/>
    </xf>
    <xf numFmtId="0" fontId="1" fillId="3" borderId="21" xfId="0" applyFont="1" applyFill="1" applyBorder="1" applyAlignment="1">
      <alignment horizontal="right" vertical="center"/>
    </xf>
    <xf numFmtId="0" fontId="1" fillId="3" borderId="22" xfId="0" applyFont="1" applyFill="1" applyBorder="1" applyAlignment="1">
      <alignment horizontal="right" vertical="center"/>
    </xf>
  </cellXfs>
  <cellStyles count="43">
    <cellStyle name="20% - Isticanje1" xfId="20" builtinId="30" customBuiltin="1"/>
    <cellStyle name="20% - Isticanje2" xfId="24" builtinId="34" customBuiltin="1"/>
    <cellStyle name="20% - Isticanje3" xfId="28" builtinId="38" customBuiltin="1"/>
    <cellStyle name="20% - Isticanje4" xfId="32" builtinId="42" customBuiltin="1"/>
    <cellStyle name="20% - Isticanje5" xfId="36" builtinId="46" customBuiltin="1"/>
    <cellStyle name="20% - Isticanje6" xfId="40" builtinId="50" customBuiltin="1"/>
    <cellStyle name="40% - Isticanje1" xfId="21" builtinId="31" customBuiltin="1"/>
    <cellStyle name="40% - Isticanje2" xfId="25" builtinId="35" customBuiltin="1"/>
    <cellStyle name="40% - Isticanje3" xfId="29" builtinId="39" customBuiltin="1"/>
    <cellStyle name="40% - Isticanje4" xfId="33" builtinId="43" customBuiltin="1"/>
    <cellStyle name="40% - Isticanje5" xfId="37" builtinId="47" customBuiltin="1"/>
    <cellStyle name="40% - Isticanje6" xfId="41" builtinId="51" customBuiltin="1"/>
    <cellStyle name="60% - Isticanje1" xfId="22" builtinId="32" customBuiltin="1"/>
    <cellStyle name="60% - Isticanje2" xfId="26" builtinId="36" customBuiltin="1"/>
    <cellStyle name="60% - Isticanje3" xfId="30" builtinId="40" customBuiltin="1"/>
    <cellStyle name="60% - Isticanje4" xfId="34" builtinId="44" customBuiltin="1"/>
    <cellStyle name="60% - Isticanje5" xfId="38" builtinId="48" customBuiltin="1"/>
    <cellStyle name="60% - Isticanje6" xfId="42" builtinId="52" customBuiltin="1"/>
    <cellStyle name="Bilješka" xfId="16" builtinId="10" customBuiltin="1"/>
    <cellStyle name="Dobro" xfId="7" builtinId="26" customBuiltin="1"/>
    <cellStyle name="Isticanje1" xfId="19" builtinId="29" customBuiltin="1"/>
    <cellStyle name="Isticanje2" xfId="23" builtinId="33" customBuiltin="1"/>
    <cellStyle name="Isticanje3" xfId="27" builtinId="37" customBuiltin="1"/>
    <cellStyle name="Isticanje4" xfId="31" builtinId="41" customBuiltin="1"/>
    <cellStyle name="Isticanje5" xfId="35" builtinId="45" customBuiltin="1"/>
    <cellStyle name="Isticanje6" xfId="39" builtinId="49" customBuiltin="1"/>
    <cellStyle name="Izlaz" xfId="11" builtinId="21" customBuiltin="1"/>
    <cellStyle name="Izračun" xfId="12" builtinId="22" customBuiltin="1"/>
    <cellStyle name="Loše" xfId="8" builtinId="27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eutralno" xfId="9" builtinId="28" customBuiltin="1"/>
    <cellStyle name="Normalno" xfId="0" builtinId="0"/>
    <cellStyle name="Povezana ćelija" xfId="13" builtinId="24" customBuiltin="1"/>
    <cellStyle name="Provjera ćelije" xfId="14" builtinId="23" customBuiltin="1"/>
    <cellStyle name="Tekst objašnjenja" xfId="17" builtinId="53" customBuiltin="1"/>
    <cellStyle name="Tekst upozorenja" xfId="15" builtinId="11" customBuiltin="1"/>
    <cellStyle name="Ukupni zbroj" xfId="18" builtinId="25" customBuiltin="1"/>
    <cellStyle name="Unos" xfId="10" builtinId="20" customBuiltin="1"/>
    <cellStyle name="Zarez" xfId="1" builtinId="3"/>
  </cellStyles>
  <dxfs count="0"/>
  <tableStyles count="0" defaultTableStyle="TableStyleMedium2" defaultPivotStyle="PivotStyleLight16"/>
  <colors>
    <mruColors>
      <color rgb="FF07A90F"/>
      <color rgb="FF129E19"/>
      <color rgb="FF487E32"/>
      <color rgb="FF27892C"/>
      <color rgb="FF238D55"/>
      <color rgb="FF3D84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N472"/>
  <sheetViews>
    <sheetView tabSelected="1" view="pageLayout" zoomScaleNormal="100" workbookViewId="0">
      <selection sqref="A1:N1"/>
    </sheetView>
  </sheetViews>
  <sheetFormatPr defaultRowHeight="15" x14ac:dyDescent="0.25"/>
  <cols>
    <col min="1" max="1" width="4.85546875" customWidth="1"/>
    <col min="2" max="2" width="26.140625" customWidth="1"/>
    <col min="3" max="3" width="12.140625" customWidth="1"/>
    <col min="4" max="4" width="13.42578125" customWidth="1"/>
    <col min="5" max="5" width="14" customWidth="1"/>
    <col min="6" max="6" width="15.28515625" customWidth="1"/>
    <col min="7" max="10" width="13.5703125" customWidth="1"/>
    <col min="11" max="11" width="14.28515625" customWidth="1"/>
    <col min="12" max="12" width="14.28515625" style="47" customWidth="1"/>
    <col min="13" max="13" width="14.28515625" customWidth="1"/>
    <col min="14" max="14" width="11.42578125" customWidth="1"/>
  </cols>
  <sheetData>
    <row r="1" spans="1:14" x14ac:dyDescent="0.25">
      <c r="A1" s="175" t="s">
        <v>41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36" x14ac:dyDescent="0.25">
      <c r="A2" s="53" t="s">
        <v>0</v>
      </c>
      <c r="B2" s="54" t="s">
        <v>1</v>
      </c>
      <c r="C2" s="54" t="s">
        <v>3</v>
      </c>
      <c r="D2" s="178" t="s">
        <v>171</v>
      </c>
      <c r="E2" s="178"/>
      <c r="F2" s="54" t="s">
        <v>166</v>
      </c>
      <c r="G2" s="54" t="s">
        <v>170</v>
      </c>
      <c r="H2" s="54" t="s">
        <v>167</v>
      </c>
      <c r="I2" s="54" t="s">
        <v>4</v>
      </c>
      <c r="J2" s="54" t="s">
        <v>5</v>
      </c>
      <c r="K2" s="54" t="s">
        <v>2</v>
      </c>
      <c r="L2" s="54" t="s">
        <v>172</v>
      </c>
      <c r="M2" s="54" t="s">
        <v>173</v>
      </c>
      <c r="N2" s="54" t="s">
        <v>169</v>
      </c>
    </row>
    <row r="3" spans="1:14" ht="61.5" customHeight="1" x14ac:dyDescent="0.25">
      <c r="A3" s="1">
        <v>1</v>
      </c>
      <c r="B3" s="4" t="s">
        <v>52</v>
      </c>
      <c r="C3" s="1" t="s">
        <v>72</v>
      </c>
      <c r="D3" s="179" t="s">
        <v>1014</v>
      </c>
      <c r="E3" s="180"/>
      <c r="F3" s="38" t="s">
        <v>98</v>
      </c>
      <c r="G3" s="38">
        <v>30192000</v>
      </c>
      <c r="H3" s="38" t="s">
        <v>15</v>
      </c>
      <c r="I3" s="38" t="s">
        <v>177</v>
      </c>
      <c r="J3" s="38" t="s">
        <v>51</v>
      </c>
      <c r="K3" s="55">
        <v>12024765</v>
      </c>
      <c r="L3" s="55">
        <f>K3*0.25</f>
        <v>3006191.25</v>
      </c>
      <c r="M3" s="55">
        <v>15030956.25</v>
      </c>
      <c r="N3" s="176"/>
    </row>
    <row r="4" spans="1:14" ht="15" customHeight="1" x14ac:dyDescent="0.25">
      <c r="A4" s="177" t="s">
        <v>1012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55">
        <v>10837898.75</v>
      </c>
      <c r="N4" s="176"/>
    </row>
    <row r="5" spans="1:14" ht="7.5" customHeight="1" x14ac:dyDescent="0.25"/>
    <row r="6" spans="1:14" ht="15" customHeight="1" x14ac:dyDescent="0.25">
      <c r="A6" s="175" t="s">
        <v>12</v>
      </c>
      <c r="B6" s="175"/>
      <c r="C6" s="175"/>
      <c r="D6" s="175"/>
      <c r="E6" s="175"/>
      <c r="F6" s="175"/>
      <c r="G6" s="175"/>
      <c r="H6" s="175"/>
      <c r="I6" s="175"/>
      <c r="J6" s="175"/>
      <c r="K6" s="49"/>
      <c r="L6" s="49"/>
    </row>
    <row r="7" spans="1:14" ht="48" customHeight="1" x14ac:dyDescent="0.25">
      <c r="A7" s="2" t="s">
        <v>0</v>
      </c>
      <c r="B7" s="3" t="s">
        <v>7</v>
      </c>
      <c r="C7" s="3" t="s">
        <v>6</v>
      </c>
      <c r="D7" s="3" t="s">
        <v>8</v>
      </c>
      <c r="E7" s="3" t="s">
        <v>168</v>
      </c>
      <c r="F7" s="3" t="s">
        <v>174</v>
      </c>
      <c r="G7" s="3" t="s">
        <v>175</v>
      </c>
      <c r="H7" s="3" t="s">
        <v>9</v>
      </c>
      <c r="I7" s="57" t="s">
        <v>176</v>
      </c>
      <c r="J7" s="3" t="s">
        <v>10</v>
      </c>
      <c r="K7" s="51"/>
      <c r="L7" s="48"/>
      <c r="M7" s="48"/>
    </row>
    <row r="8" spans="1:14" x14ac:dyDescent="0.25">
      <c r="A8" s="1">
        <v>1</v>
      </c>
      <c r="B8" s="6" t="s">
        <v>185</v>
      </c>
      <c r="C8" s="7" t="s">
        <v>213</v>
      </c>
      <c r="D8" s="56">
        <v>42432</v>
      </c>
      <c r="E8" s="56">
        <v>43147</v>
      </c>
      <c r="F8" s="8">
        <v>160691.5</v>
      </c>
      <c r="G8" s="8">
        <v>200864.38</v>
      </c>
      <c r="H8" s="56">
        <v>43100</v>
      </c>
      <c r="I8" s="8">
        <v>118037.53750000001</v>
      </c>
      <c r="J8" s="52"/>
      <c r="L8" s="112"/>
      <c r="M8" s="112"/>
    </row>
    <row r="9" spans="1:14" ht="24" x14ac:dyDescent="0.25">
      <c r="A9" s="1">
        <v>2</v>
      </c>
      <c r="B9" s="6" t="s">
        <v>186</v>
      </c>
      <c r="C9" s="7" t="s">
        <v>214</v>
      </c>
      <c r="D9" s="56">
        <v>42431</v>
      </c>
      <c r="E9" s="56">
        <v>42795</v>
      </c>
      <c r="F9" s="8">
        <v>104969.55</v>
      </c>
      <c r="G9" s="8">
        <v>131211.94</v>
      </c>
      <c r="H9" s="56">
        <v>42916</v>
      </c>
      <c r="I9" s="8">
        <v>69780.75</v>
      </c>
      <c r="J9" s="52"/>
      <c r="L9" s="112"/>
      <c r="M9" s="112"/>
    </row>
    <row r="10" spans="1:14" ht="24" x14ac:dyDescent="0.25">
      <c r="A10" s="1">
        <v>3</v>
      </c>
      <c r="B10" s="6" t="s">
        <v>187</v>
      </c>
      <c r="C10" s="7" t="s">
        <v>215</v>
      </c>
      <c r="D10" s="56">
        <v>42451</v>
      </c>
      <c r="E10" s="56">
        <v>42825</v>
      </c>
      <c r="F10" s="8">
        <v>52815.75</v>
      </c>
      <c r="G10" s="8">
        <v>66019.69</v>
      </c>
      <c r="H10" s="56">
        <v>42825</v>
      </c>
      <c r="I10" s="8">
        <v>61115.787499999999</v>
      </c>
      <c r="J10" s="5"/>
      <c r="L10" s="112"/>
      <c r="M10" s="112"/>
    </row>
    <row r="11" spans="1:14" ht="36" x14ac:dyDescent="0.25">
      <c r="A11" s="1">
        <v>4</v>
      </c>
      <c r="B11" s="6" t="s">
        <v>188</v>
      </c>
      <c r="C11" s="7" t="s">
        <v>216</v>
      </c>
      <c r="D11" s="56">
        <v>43076</v>
      </c>
      <c r="E11" s="56">
        <v>43076</v>
      </c>
      <c r="F11" s="8">
        <v>2283.6</v>
      </c>
      <c r="G11" s="8">
        <v>2854.5</v>
      </c>
      <c r="H11" s="56">
        <v>43100</v>
      </c>
      <c r="I11" s="8">
        <v>2854.5</v>
      </c>
      <c r="J11" s="5"/>
      <c r="L11" s="112"/>
      <c r="M11" s="112"/>
    </row>
    <row r="12" spans="1:14" ht="36" x14ac:dyDescent="0.25">
      <c r="A12" s="1">
        <v>5</v>
      </c>
      <c r="B12" s="6" t="s">
        <v>189</v>
      </c>
      <c r="C12" s="7" t="s">
        <v>217</v>
      </c>
      <c r="D12" s="56">
        <v>43074</v>
      </c>
      <c r="E12" s="56">
        <v>43097</v>
      </c>
      <c r="F12" s="8">
        <v>4743.5</v>
      </c>
      <c r="G12" s="8">
        <v>5929.38</v>
      </c>
      <c r="H12" s="56">
        <v>43100</v>
      </c>
      <c r="I12" s="8">
        <v>1887.375</v>
      </c>
      <c r="J12" s="5"/>
      <c r="L12" s="112"/>
      <c r="M12" s="112"/>
    </row>
    <row r="13" spans="1:14" ht="24" x14ac:dyDescent="0.25">
      <c r="A13" s="1">
        <v>6</v>
      </c>
      <c r="B13" s="6" t="s">
        <v>190</v>
      </c>
      <c r="C13" s="7" t="s">
        <v>218</v>
      </c>
      <c r="D13" s="56">
        <v>43069</v>
      </c>
      <c r="E13" s="56">
        <v>43083</v>
      </c>
      <c r="F13" s="8">
        <v>16385</v>
      </c>
      <c r="G13" s="8">
        <v>20481.25</v>
      </c>
      <c r="H13" s="56">
        <v>43083</v>
      </c>
      <c r="I13" s="8">
        <v>20481.25</v>
      </c>
      <c r="J13" s="5"/>
      <c r="L13" s="112"/>
      <c r="M13" s="112"/>
    </row>
    <row r="14" spans="1:14" ht="36" x14ac:dyDescent="0.25">
      <c r="A14" s="1">
        <v>7</v>
      </c>
      <c r="B14" s="6" t="s">
        <v>189</v>
      </c>
      <c r="C14" s="7" t="s">
        <v>219</v>
      </c>
      <c r="D14" s="56">
        <v>43052</v>
      </c>
      <c r="E14" s="56">
        <v>43069</v>
      </c>
      <c r="F14" s="8">
        <v>10450.1</v>
      </c>
      <c r="G14" s="8">
        <v>13062.63</v>
      </c>
      <c r="H14" s="56">
        <v>43100</v>
      </c>
      <c r="I14" s="8">
        <v>13062.625</v>
      </c>
      <c r="J14" s="5"/>
      <c r="L14" s="112"/>
      <c r="M14" s="112"/>
    </row>
    <row r="15" spans="1:14" ht="24" x14ac:dyDescent="0.25">
      <c r="A15" s="1">
        <v>8</v>
      </c>
      <c r="B15" s="6" t="s">
        <v>18</v>
      </c>
      <c r="C15" s="7" t="s">
        <v>220</v>
      </c>
      <c r="D15" s="56">
        <v>43041</v>
      </c>
      <c r="E15" s="56">
        <v>43100</v>
      </c>
      <c r="F15" s="8">
        <v>260311.71</v>
      </c>
      <c r="G15" s="8">
        <v>325389.64</v>
      </c>
      <c r="H15" s="56">
        <v>43100</v>
      </c>
      <c r="I15" s="8">
        <v>325112.1875</v>
      </c>
      <c r="J15" s="5"/>
      <c r="L15" s="112"/>
      <c r="M15" s="112"/>
    </row>
    <row r="16" spans="1:14" ht="36" x14ac:dyDescent="0.25">
      <c r="A16" s="1">
        <v>9</v>
      </c>
      <c r="B16" s="6" t="s">
        <v>189</v>
      </c>
      <c r="C16" s="7" t="s">
        <v>221</v>
      </c>
      <c r="D16" s="56">
        <v>43038</v>
      </c>
      <c r="E16" s="56">
        <v>43069</v>
      </c>
      <c r="F16" s="8">
        <v>1110</v>
      </c>
      <c r="G16" s="8">
        <v>1387.5</v>
      </c>
      <c r="H16" s="56">
        <v>43100</v>
      </c>
      <c r="I16" s="8">
        <v>1387.5</v>
      </c>
      <c r="J16" s="5"/>
      <c r="L16" s="112"/>
      <c r="M16" s="112"/>
    </row>
    <row r="17" spans="1:13" ht="36" x14ac:dyDescent="0.25">
      <c r="A17" s="1">
        <v>10</v>
      </c>
      <c r="B17" s="6" t="s">
        <v>189</v>
      </c>
      <c r="C17" s="7" t="s">
        <v>222</v>
      </c>
      <c r="D17" s="56">
        <v>43034</v>
      </c>
      <c r="E17" s="56">
        <v>43065</v>
      </c>
      <c r="F17" s="8">
        <v>524</v>
      </c>
      <c r="G17" s="8">
        <v>655</v>
      </c>
      <c r="H17" s="56">
        <v>43100</v>
      </c>
      <c r="I17" s="8">
        <v>163.75</v>
      </c>
      <c r="J17" s="5"/>
      <c r="L17" s="112"/>
      <c r="M17" s="112"/>
    </row>
    <row r="18" spans="1:13" ht="24" x14ac:dyDescent="0.25">
      <c r="A18" s="1">
        <v>11</v>
      </c>
      <c r="B18" s="6" t="s">
        <v>191</v>
      </c>
      <c r="C18" s="7" t="s">
        <v>223</v>
      </c>
      <c r="D18" s="56">
        <v>43011</v>
      </c>
      <c r="E18" s="56">
        <v>43063</v>
      </c>
      <c r="F18" s="8">
        <v>27669</v>
      </c>
      <c r="G18" s="8">
        <v>34586.25</v>
      </c>
      <c r="H18" s="56">
        <v>43063</v>
      </c>
      <c r="I18" s="8">
        <v>34586.25</v>
      </c>
      <c r="J18" s="5"/>
      <c r="L18" s="112"/>
      <c r="M18" s="112"/>
    </row>
    <row r="19" spans="1:13" ht="36" x14ac:dyDescent="0.25">
      <c r="A19" s="1">
        <v>12</v>
      </c>
      <c r="B19" s="6" t="s">
        <v>192</v>
      </c>
      <c r="C19" s="7" t="s">
        <v>224</v>
      </c>
      <c r="D19" s="56">
        <v>43100</v>
      </c>
      <c r="E19" s="56">
        <v>43100</v>
      </c>
      <c r="F19" s="8">
        <v>5002.5</v>
      </c>
      <c r="G19" s="8">
        <v>6253.13</v>
      </c>
      <c r="H19" s="56">
        <v>43100</v>
      </c>
      <c r="I19" s="8">
        <v>6253.125</v>
      </c>
      <c r="J19" s="5"/>
      <c r="L19" s="112"/>
      <c r="M19" s="112"/>
    </row>
    <row r="20" spans="1:13" ht="36" x14ac:dyDescent="0.25">
      <c r="A20" s="1">
        <v>13</v>
      </c>
      <c r="B20" s="6" t="s">
        <v>192</v>
      </c>
      <c r="C20" s="7" t="s">
        <v>225</v>
      </c>
      <c r="D20" s="56">
        <v>43100</v>
      </c>
      <c r="E20" s="56">
        <v>43100</v>
      </c>
      <c r="F20" s="8">
        <v>9215.94</v>
      </c>
      <c r="G20" s="8">
        <v>11519.93</v>
      </c>
      <c r="H20" s="56">
        <v>43100</v>
      </c>
      <c r="I20" s="8">
        <v>11519.925000000001</v>
      </c>
      <c r="J20" s="5"/>
      <c r="L20" s="112"/>
      <c r="M20" s="112"/>
    </row>
    <row r="21" spans="1:13" ht="24" x14ac:dyDescent="0.25">
      <c r="A21" s="1">
        <v>14</v>
      </c>
      <c r="B21" s="6" t="s">
        <v>193</v>
      </c>
      <c r="C21" s="7" t="s">
        <v>226</v>
      </c>
      <c r="D21" s="56">
        <v>43009</v>
      </c>
      <c r="E21" s="56">
        <v>43100</v>
      </c>
      <c r="F21" s="8">
        <v>33564.699999999997</v>
      </c>
      <c r="G21" s="8">
        <v>41955.88</v>
      </c>
      <c r="H21" s="56">
        <v>43100</v>
      </c>
      <c r="I21" s="8">
        <v>41955.875</v>
      </c>
      <c r="J21" s="5"/>
      <c r="L21" s="112"/>
      <c r="M21" s="112"/>
    </row>
    <row r="22" spans="1:13" ht="36" x14ac:dyDescent="0.25">
      <c r="A22" s="1">
        <v>15</v>
      </c>
      <c r="B22" s="6" t="s">
        <v>192</v>
      </c>
      <c r="C22" s="7" t="s">
        <v>227</v>
      </c>
      <c r="D22" s="56">
        <v>43100</v>
      </c>
      <c r="E22" s="56">
        <v>43100</v>
      </c>
      <c r="F22" s="8">
        <v>2268.0700000000002</v>
      </c>
      <c r="G22" s="8">
        <v>2835.09</v>
      </c>
      <c r="H22" s="56">
        <v>43100</v>
      </c>
      <c r="I22" s="8">
        <v>2835.0875000000001</v>
      </c>
      <c r="J22" s="5"/>
      <c r="L22" s="112"/>
      <c r="M22" s="112"/>
    </row>
    <row r="23" spans="1:13" ht="36" x14ac:dyDescent="0.25">
      <c r="A23" s="1">
        <v>16</v>
      </c>
      <c r="B23" s="6" t="s">
        <v>192</v>
      </c>
      <c r="C23" s="7" t="s">
        <v>228</v>
      </c>
      <c r="D23" s="56">
        <v>43100</v>
      </c>
      <c r="E23" s="56">
        <v>43100</v>
      </c>
      <c r="F23" s="8">
        <v>4347.5</v>
      </c>
      <c r="G23" s="8">
        <v>5434.38</v>
      </c>
      <c r="H23" s="56">
        <v>43100</v>
      </c>
      <c r="I23" s="8">
        <v>5434.375</v>
      </c>
      <c r="J23" s="5"/>
      <c r="L23" s="112"/>
      <c r="M23" s="112"/>
    </row>
    <row r="24" spans="1:13" ht="36" x14ac:dyDescent="0.25">
      <c r="A24" s="1">
        <v>17</v>
      </c>
      <c r="B24" s="6" t="s">
        <v>189</v>
      </c>
      <c r="C24" s="7" t="s">
        <v>229</v>
      </c>
      <c r="D24" s="56">
        <v>42985</v>
      </c>
      <c r="E24" s="56">
        <v>43062</v>
      </c>
      <c r="F24" s="8">
        <v>15688.5</v>
      </c>
      <c r="G24" s="8">
        <v>19610.63</v>
      </c>
      <c r="H24" s="56">
        <v>43100</v>
      </c>
      <c r="I24" s="8">
        <v>19610.625</v>
      </c>
      <c r="J24" s="5"/>
      <c r="L24" s="112"/>
      <c r="M24" s="112"/>
    </row>
    <row r="25" spans="1:13" ht="36" x14ac:dyDescent="0.25">
      <c r="A25" s="1">
        <v>18</v>
      </c>
      <c r="B25" s="6" t="s">
        <v>188</v>
      </c>
      <c r="C25" s="7" t="s">
        <v>230</v>
      </c>
      <c r="D25" s="56">
        <v>42922</v>
      </c>
      <c r="E25" s="56">
        <v>42986</v>
      </c>
      <c r="F25" s="8">
        <v>2442</v>
      </c>
      <c r="G25" s="8">
        <v>3052.5</v>
      </c>
      <c r="H25" s="56">
        <v>43008</v>
      </c>
      <c r="I25" s="8">
        <v>3052.5</v>
      </c>
      <c r="J25" s="5"/>
      <c r="L25" s="112"/>
      <c r="M25" s="112"/>
    </row>
    <row r="26" spans="1:13" ht="24" x14ac:dyDescent="0.25">
      <c r="A26" s="1">
        <v>19</v>
      </c>
      <c r="B26" s="6" t="s">
        <v>194</v>
      </c>
      <c r="C26" s="7" t="s">
        <v>231</v>
      </c>
      <c r="D26" s="56">
        <v>42917</v>
      </c>
      <c r="E26" s="56">
        <v>43146</v>
      </c>
      <c r="F26" s="8">
        <v>55995.9</v>
      </c>
      <c r="G26" s="8">
        <v>69994.880000000005</v>
      </c>
      <c r="H26" s="56">
        <v>43100</v>
      </c>
      <c r="I26" s="8">
        <v>37878.75</v>
      </c>
      <c r="J26" s="5"/>
      <c r="L26" s="112"/>
      <c r="M26" s="112"/>
    </row>
    <row r="27" spans="1:13" ht="24" x14ac:dyDescent="0.25">
      <c r="A27" s="1">
        <v>20</v>
      </c>
      <c r="B27" s="6" t="s">
        <v>193</v>
      </c>
      <c r="C27" s="7" t="s">
        <v>232</v>
      </c>
      <c r="D27" s="56">
        <v>42917</v>
      </c>
      <c r="E27" s="56">
        <v>43008</v>
      </c>
      <c r="F27" s="8">
        <v>11005.66</v>
      </c>
      <c r="G27" s="8">
        <v>13757.08</v>
      </c>
      <c r="H27" s="56">
        <v>43008</v>
      </c>
      <c r="I27" s="8">
        <v>13757.075000000001</v>
      </c>
      <c r="J27" s="5"/>
      <c r="L27" s="112"/>
      <c r="M27" s="112"/>
    </row>
    <row r="28" spans="1:13" ht="24" x14ac:dyDescent="0.25">
      <c r="A28" s="1">
        <v>21</v>
      </c>
      <c r="B28" s="6" t="s">
        <v>18</v>
      </c>
      <c r="C28" s="7" t="s">
        <v>233</v>
      </c>
      <c r="D28" s="56">
        <v>42914</v>
      </c>
      <c r="E28" s="56">
        <v>43008</v>
      </c>
      <c r="F28" s="8">
        <v>215338.53</v>
      </c>
      <c r="G28" s="8">
        <v>269173.15999999997</v>
      </c>
      <c r="H28" s="56">
        <v>43008</v>
      </c>
      <c r="I28" s="8">
        <v>269173.21250000002</v>
      </c>
      <c r="J28" s="5"/>
      <c r="L28" s="112"/>
      <c r="M28" s="112"/>
    </row>
    <row r="29" spans="1:13" ht="36" x14ac:dyDescent="0.25">
      <c r="A29" s="1">
        <v>22</v>
      </c>
      <c r="B29" s="6" t="s">
        <v>189</v>
      </c>
      <c r="C29" s="7" t="s">
        <v>234</v>
      </c>
      <c r="D29" s="56">
        <v>42912</v>
      </c>
      <c r="E29" s="56">
        <v>42971</v>
      </c>
      <c r="F29" s="8">
        <v>5203.41</v>
      </c>
      <c r="G29" s="8">
        <v>6504.26</v>
      </c>
      <c r="H29" s="56">
        <v>43008</v>
      </c>
      <c r="I29" s="8">
        <v>6504.2624999999998</v>
      </c>
      <c r="J29" s="5"/>
      <c r="L29" s="112"/>
      <c r="M29" s="112"/>
    </row>
    <row r="30" spans="1:13" ht="36" x14ac:dyDescent="0.25">
      <c r="A30" s="1">
        <v>23</v>
      </c>
      <c r="B30" s="6" t="s">
        <v>188</v>
      </c>
      <c r="C30" s="7" t="s">
        <v>235</v>
      </c>
      <c r="D30" s="56">
        <v>42902</v>
      </c>
      <c r="E30" s="56">
        <v>42902</v>
      </c>
      <c r="F30" s="8">
        <v>209.3</v>
      </c>
      <c r="G30" s="8">
        <v>261.63</v>
      </c>
      <c r="H30" s="56">
        <v>42916</v>
      </c>
      <c r="I30" s="8">
        <v>261.625</v>
      </c>
      <c r="J30" s="5"/>
      <c r="L30" s="112"/>
      <c r="M30" s="112"/>
    </row>
    <row r="31" spans="1:13" ht="24" x14ac:dyDescent="0.25">
      <c r="A31" s="1">
        <v>24</v>
      </c>
      <c r="B31" s="6" t="s">
        <v>195</v>
      </c>
      <c r="C31" s="7" t="s">
        <v>236</v>
      </c>
      <c r="D31" s="56">
        <v>42901</v>
      </c>
      <c r="E31" s="56">
        <v>43147</v>
      </c>
      <c r="F31" s="8">
        <v>2823010</v>
      </c>
      <c r="G31" s="8">
        <v>3528762.5</v>
      </c>
      <c r="H31" s="56">
        <v>43100</v>
      </c>
      <c r="I31" s="8">
        <v>1162429.0625</v>
      </c>
      <c r="J31" s="5"/>
      <c r="L31" s="112"/>
      <c r="M31" s="112"/>
    </row>
    <row r="32" spans="1:13" ht="24" x14ac:dyDescent="0.25">
      <c r="A32" s="1">
        <v>25</v>
      </c>
      <c r="B32" s="6" t="s">
        <v>194</v>
      </c>
      <c r="C32" s="7" t="s">
        <v>237</v>
      </c>
      <c r="D32" s="56">
        <v>42887</v>
      </c>
      <c r="E32" s="56">
        <v>42887</v>
      </c>
      <c r="F32" s="8">
        <v>5920</v>
      </c>
      <c r="G32" s="8">
        <v>7400</v>
      </c>
      <c r="H32" s="56">
        <v>42916</v>
      </c>
      <c r="I32" s="8">
        <v>7400</v>
      </c>
      <c r="J32" s="5"/>
      <c r="L32" s="112"/>
      <c r="M32" s="112"/>
    </row>
    <row r="33" spans="1:13" ht="24" x14ac:dyDescent="0.25">
      <c r="A33" s="1">
        <v>26</v>
      </c>
      <c r="B33" s="6" t="s">
        <v>190</v>
      </c>
      <c r="C33" s="7" t="s">
        <v>238</v>
      </c>
      <c r="D33" s="56">
        <v>42886</v>
      </c>
      <c r="E33" s="56">
        <v>42868</v>
      </c>
      <c r="F33" s="8">
        <v>14892</v>
      </c>
      <c r="G33" s="8">
        <v>18615</v>
      </c>
      <c r="H33" s="56">
        <v>42899</v>
      </c>
      <c r="I33" s="8">
        <v>18615</v>
      </c>
      <c r="J33" s="5"/>
      <c r="L33" s="112"/>
      <c r="M33" s="112"/>
    </row>
    <row r="34" spans="1:13" ht="36" x14ac:dyDescent="0.25">
      <c r="A34" s="1">
        <v>27</v>
      </c>
      <c r="B34" s="6" t="s">
        <v>192</v>
      </c>
      <c r="C34" s="7" t="s">
        <v>239</v>
      </c>
      <c r="D34" s="56">
        <v>42916</v>
      </c>
      <c r="E34" s="56">
        <v>42916</v>
      </c>
      <c r="F34" s="8">
        <v>4444</v>
      </c>
      <c r="G34" s="8">
        <v>5555</v>
      </c>
      <c r="H34" s="56">
        <v>42916</v>
      </c>
      <c r="I34" s="8">
        <v>5555</v>
      </c>
      <c r="J34" s="5"/>
      <c r="L34" s="112"/>
      <c r="M34" s="112"/>
    </row>
    <row r="35" spans="1:13" ht="24" x14ac:dyDescent="0.25">
      <c r="A35" s="1">
        <v>28</v>
      </c>
      <c r="B35" s="6" t="s">
        <v>196</v>
      </c>
      <c r="C35" s="7" t="s">
        <v>240</v>
      </c>
      <c r="D35" s="56">
        <v>42853</v>
      </c>
      <c r="E35" s="56">
        <v>43147</v>
      </c>
      <c r="F35" s="8">
        <v>96278.3</v>
      </c>
      <c r="G35" s="8">
        <v>120347.88</v>
      </c>
      <c r="H35" s="56">
        <v>43100</v>
      </c>
      <c r="I35" s="46">
        <v>44156.5</v>
      </c>
      <c r="J35" s="5"/>
      <c r="L35" s="112"/>
      <c r="M35" s="112"/>
    </row>
    <row r="36" spans="1:13" ht="24" x14ac:dyDescent="0.25">
      <c r="A36" s="1">
        <v>29</v>
      </c>
      <c r="B36" s="6" t="s">
        <v>210</v>
      </c>
      <c r="C36" s="7" t="s">
        <v>1013</v>
      </c>
      <c r="D36" s="56">
        <v>42844</v>
      </c>
      <c r="E36" s="56">
        <v>43147</v>
      </c>
      <c r="F36" s="8">
        <v>1034718.5</v>
      </c>
      <c r="G36" s="8">
        <v>1293398.1299999999</v>
      </c>
      <c r="H36" s="56">
        <v>43100</v>
      </c>
      <c r="I36" s="8">
        <v>810508.875</v>
      </c>
      <c r="J36" s="5"/>
      <c r="L36" s="112"/>
      <c r="M36" s="112"/>
    </row>
    <row r="37" spans="1:13" ht="24" x14ac:dyDescent="0.25">
      <c r="A37" s="1">
        <v>30</v>
      </c>
      <c r="B37" s="6" t="s">
        <v>18</v>
      </c>
      <c r="C37" s="7" t="s">
        <v>241</v>
      </c>
      <c r="D37" s="56">
        <v>42839</v>
      </c>
      <c r="E37" s="56">
        <v>42916</v>
      </c>
      <c r="F37" s="8">
        <v>235039.3</v>
      </c>
      <c r="G37" s="8">
        <v>293799.13</v>
      </c>
      <c r="H37" s="56">
        <v>42916</v>
      </c>
      <c r="I37" s="8">
        <v>293799.17499999999</v>
      </c>
      <c r="J37" s="5"/>
      <c r="L37" s="112"/>
      <c r="M37" s="112"/>
    </row>
    <row r="38" spans="1:13" ht="36" x14ac:dyDescent="0.25">
      <c r="A38" s="1">
        <v>31</v>
      </c>
      <c r="B38" s="6" t="s">
        <v>192</v>
      </c>
      <c r="C38" s="7" t="s">
        <v>242</v>
      </c>
      <c r="D38" s="56">
        <v>42835</v>
      </c>
      <c r="E38" s="56">
        <v>42916</v>
      </c>
      <c r="F38" s="8">
        <v>1983.8</v>
      </c>
      <c r="G38" s="8">
        <v>2479.75</v>
      </c>
      <c r="H38" s="56">
        <v>42916</v>
      </c>
      <c r="I38" s="8">
        <v>2479.75</v>
      </c>
      <c r="J38" s="5"/>
      <c r="L38" s="112"/>
      <c r="M38" s="112"/>
    </row>
    <row r="39" spans="1:13" ht="36" x14ac:dyDescent="0.25">
      <c r="A39" s="1">
        <v>32</v>
      </c>
      <c r="B39" s="6" t="s">
        <v>191</v>
      </c>
      <c r="C39" s="7" t="s">
        <v>245</v>
      </c>
      <c r="D39" s="56">
        <v>42826</v>
      </c>
      <c r="E39" s="56">
        <v>42916</v>
      </c>
      <c r="F39" s="8">
        <v>29874.5</v>
      </c>
      <c r="G39" s="8">
        <v>37343.129999999997</v>
      </c>
      <c r="H39" s="56">
        <v>42916</v>
      </c>
      <c r="I39" s="8">
        <v>37343.125</v>
      </c>
      <c r="J39" s="5"/>
      <c r="L39" s="112"/>
      <c r="M39" s="112"/>
    </row>
    <row r="40" spans="1:13" ht="24" x14ac:dyDescent="0.25">
      <c r="A40" s="1">
        <v>33</v>
      </c>
      <c r="B40" s="6" t="s">
        <v>193</v>
      </c>
      <c r="C40" s="7" t="s">
        <v>243</v>
      </c>
      <c r="D40" s="56">
        <v>42826</v>
      </c>
      <c r="E40" s="56">
        <v>42916</v>
      </c>
      <c r="F40" s="8">
        <v>36611.35</v>
      </c>
      <c r="G40" s="8">
        <v>45764.19</v>
      </c>
      <c r="H40" s="56">
        <v>42916</v>
      </c>
      <c r="I40" s="8">
        <v>45764.1875</v>
      </c>
      <c r="J40" s="5"/>
      <c r="L40" s="112"/>
      <c r="M40" s="112"/>
    </row>
    <row r="41" spans="1:13" ht="24" x14ac:dyDescent="0.25">
      <c r="A41" s="1">
        <v>34</v>
      </c>
      <c r="B41" s="6" t="s">
        <v>187</v>
      </c>
      <c r="C41" s="7" t="s">
        <v>244</v>
      </c>
      <c r="D41" s="56">
        <v>42821</v>
      </c>
      <c r="E41" s="56">
        <v>43147</v>
      </c>
      <c r="F41" s="8">
        <v>47562.6</v>
      </c>
      <c r="G41" s="8">
        <v>59453.25</v>
      </c>
      <c r="H41" s="56">
        <v>42916</v>
      </c>
      <c r="I41" s="8">
        <v>14243.375</v>
      </c>
      <c r="J41" s="5"/>
      <c r="L41" s="112"/>
      <c r="M41" s="112"/>
    </row>
    <row r="42" spans="1:13" ht="36" x14ac:dyDescent="0.25">
      <c r="A42" s="1">
        <v>35</v>
      </c>
      <c r="B42" s="6" t="s">
        <v>188</v>
      </c>
      <c r="C42" s="7" t="s">
        <v>246</v>
      </c>
      <c r="D42" s="56">
        <v>42816</v>
      </c>
      <c r="E42" s="56">
        <v>42816</v>
      </c>
      <c r="F42" s="8">
        <v>2220</v>
      </c>
      <c r="G42" s="8">
        <v>2775</v>
      </c>
      <c r="H42" s="56">
        <v>42825</v>
      </c>
      <c r="I42" s="8">
        <v>2775</v>
      </c>
      <c r="J42" s="5"/>
      <c r="L42" s="112"/>
      <c r="M42" s="112"/>
    </row>
    <row r="43" spans="1:13" ht="24" x14ac:dyDescent="0.25">
      <c r="A43" s="1">
        <v>36</v>
      </c>
      <c r="B43" s="6" t="s">
        <v>186</v>
      </c>
      <c r="C43" s="7" t="s">
        <v>214</v>
      </c>
      <c r="D43" s="56">
        <v>42815</v>
      </c>
      <c r="E43" s="56">
        <v>43179</v>
      </c>
      <c r="F43" s="8">
        <v>99779.55</v>
      </c>
      <c r="G43" s="8">
        <v>124724.44</v>
      </c>
      <c r="H43" s="56">
        <v>43008</v>
      </c>
      <c r="I43" s="8">
        <v>31248.899999999998</v>
      </c>
      <c r="J43" s="5"/>
      <c r="L43" s="112"/>
      <c r="M43" s="112"/>
    </row>
    <row r="44" spans="1:13" ht="36" x14ac:dyDescent="0.25">
      <c r="A44" s="1">
        <v>37</v>
      </c>
      <c r="B44" s="6" t="s">
        <v>97</v>
      </c>
      <c r="C44" s="7" t="s">
        <v>247</v>
      </c>
      <c r="D44" s="56">
        <v>42814</v>
      </c>
      <c r="E44" s="56">
        <v>42821</v>
      </c>
      <c r="F44" s="8">
        <v>99</v>
      </c>
      <c r="G44" s="8">
        <v>123.75</v>
      </c>
      <c r="H44" s="56">
        <v>42821</v>
      </c>
      <c r="I44" s="8">
        <v>123.75</v>
      </c>
      <c r="J44" s="5"/>
      <c r="L44" s="112"/>
      <c r="M44" s="112"/>
    </row>
    <row r="45" spans="1:13" x14ac:dyDescent="0.25">
      <c r="A45" s="1">
        <v>38</v>
      </c>
      <c r="B45" s="6" t="s">
        <v>17</v>
      </c>
      <c r="C45" s="7" t="s">
        <v>248</v>
      </c>
      <c r="D45" s="56">
        <v>42810</v>
      </c>
      <c r="E45" s="56">
        <v>43175</v>
      </c>
      <c r="F45" s="8">
        <v>156267.07999999999</v>
      </c>
      <c r="G45" s="8">
        <v>195333.85</v>
      </c>
      <c r="H45" s="56">
        <v>43100</v>
      </c>
      <c r="I45" s="8">
        <v>199004.57500000001</v>
      </c>
      <c r="J45" s="5"/>
      <c r="L45" s="112"/>
      <c r="M45" s="112"/>
    </row>
    <row r="46" spans="1:13" ht="24" x14ac:dyDescent="0.25">
      <c r="A46" s="1">
        <v>39</v>
      </c>
      <c r="B46" s="6" t="s">
        <v>197</v>
      </c>
      <c r="C46" s="7" t="s">
        <v>249</v>
      </c>
      <c r="D46" s="56">
        <v>42801</v>
      </c>
      <c r="E46" s="56">
        <v>42825</v>
      </c>
      <c r="F46" s="8">
        <v>15560</v>
      </c>
      <c r="G46" s="8">
        <v>19450</v>
      </c>
      <c r="H46" s="56">
        <v>42825</v>
      </c>
      <c r="I46" s="8">
        <v>19450</v>
      </c>
      <c r="J46" s="37"/>
      <c r="L46" s="112"/>
      <c r="M46" s="112"/>
    </row>
    <row r="47" spans="1:13" x14ac:dyDescent="0.25">
      <c r="A47" s="1">
        <v>40</v>
      </c>
      <c r="B47" s="6" t="s">
        <v>198</v>
      </c>
      <c r="C47" s="7" t="s">
        <v>250</v>
      </c>
      <c r="D47" s="56">
        <v>42036</v>
      </c>
      <c r="E47" s="56">
        <v>43158</v>
      </c>
      <c r="F47" s="8">
        <v>342691.97</v>
      </c>
      <c r="G47" s="8">
        <v>428364.96</v>
      </c>
      <c r="H47" s="56">
        <v>43100</v>
      </c>
      <c r="I47" s="8">
        <v>475122.8125</v>
      </c>
      <c r="J47" s="37"/>
      <c r="L47" s="112"/>
      <c r="M47" s="112"/>
    </row>
    <row r="48" spans="1:13" ht="24" x14ac:dyDescent="0.25">
      <c r="A48" s="1">
        <v>41</v>
      </c>
      <c r="B48" s="6" t="s">
        <v>199</v>
      </c>
      <c r="C48" s="7" t="s">
        <v>251</v>
      </c>
      <c r="D48" s="56">
        <v>42789</v>
      </c>
      <c r="E48" s="56">
        <v>43100</v>
      </c>
      <c r="F48" s="8">
        <v>79330.399999999994</v>
      </c>
      <c r="G48" s="8">
        <v>99163</v>
      </c>
      <c r="H48" s="56">
        <v>43100</v>
      </c>
      <c r="I48" s="8">
        <v>101703.6</v>
      </c>
      <c r="J48" s="5"/>
      <c r="L48" s="112"/>
      <c r="M48" s="112"/>
    </row>
    <row r="49" spans="1:13" ht="24" x14ac:dyDescent="0.25">
      <c r="A49" s="1">
        <v>42</v>
      </c>
      <c r="B49" s="6" t="s">
        <v>18</v>
      </c>
      <c r="C49" s="7" t="s">
        <v>252</v>
      </c>
      <c r="D49" s="56">
        <v>42788</v>
      </c>
      <c r="E49" s="56">
        <v>42825</v>
      </c>
      <c r="F49" s="8">
        <v>189271.98</v>
      </c>
      <c r="G49" s="8">
        <v>236589.98</v>
      </c>
      <c r="H49" s="56">
        <v>42916</v>
      </c>
      <c r="I49" s="8">
        <v>235366.77500000002</v>
      </c>
      <c r="J49" s="5"/>
      <c r="L49" s="112"/>
      <c r="M49" s="112"/>
    </row>
    <row r="50" spans="1:13" ht="24" x14ac:dyDescent="0.25">
      <c r="A50" s="1">
        <v>43</v>
      </c>
      <c r="B50" s="6" t="s">
        <v>200</v>
      </c>
      <c r="C50" s="7" t="s">
        <v>253</v>
      </c>
      <c r="D50" s="56">
        <v>42786</v>
      </c>
      <c r="E50" s="56">
        <v>43100</v>
      </c>
      <c r="F50" s="8">
        <v>79067.5</v>
      </c>
      <c r="G50" s="8">
        <v>98834.38</v>
      </c>
      <c r="H50" s="56">
        <v>42916</v>
      </c>
      <c r="I50" s="8">
        <v>462.5</v>
      </c>
      <c r="J50" s="5"/>
      <c r="L50" s="112"/>
      <c r="M50" s="112"/>
    </row>
    <row r="51" spans="1:13" ht="24" x14ac:dyDescent="0.25">
      <c r="A51" s="1">
        <v>44</v>
      </c>
      <c r="B51" s="6" t="s">
        <v>201</v>
      </c>
      <c r="C51" s="7" t="s">
        <v>254</v>
      </c>
      <c r="D51" s="56">
        <v>42782</v>
      </c>
      <c r="E51" s="56">
        <v>43146</v>
      </c>
      <c r="F51" s="8">
        <v>47000</v>
      </c>
      <c r="G51" s="8">
        <v>58750</v>
      </c>
      <c r="H51" s="56">
        <v>43100</v>
      </c>
      <c r="I51" s="8">
        <v>21612.0625</v>
      </c>
      <c r="J51" s="5"/>
      <c r="L51" s="112"/>
      <c r="M51" s="112"/>
    </row>
    <row r="52" spans="1:13" ht="24" x14ac:dyDescent="0.25">
      <c r="A52" s="1">
        <v>45</v>
      </c>
      <c r="B52" s="6" t="s">
        <v>191</v>
      </c>
      <c r="C52" s="7" t="s">
        <v>255</v>
      </c>
      <c r="D52" s="56">
        <v>42769</v>
      </c>
      <c r="E52" s="56">
        <v>42825</v>
      </c>
      <c r="F52" s="8">
        <v>17760</v>
      </c>
      <c r="G52" s="8">
        <v>22200</v>
      </c>
      <c r="H52" s="56">
        <v>42825</v>
      </c>
      <c r="I52" s="8">
        <v>22200</v>
      </c>
      <c r="J52" s="5"/>
      <c r="L52" s="112"/>
      <c r="M52" s="112"/>
    </row>
    <row r="53" spans="1:13" ht="24" x14ac:dyDescent="0.25">
      <c r="A53" s="1">
        <v>46</v>
      </c>
      <c r="B53" s="6" t="s">
        <v>202</v>
      </c>
      <c r="C53" s="7" t="s">
        <v>256</v>
      </c>
      <c r="D53" s="56">
        <v>42761</v>
      </c>
      <c r="E53" s="56">
        <v>43146</v>
      </c>
      <c r="F53" s="8">
        <v>10879.2</v>
      </c>
      <c r="G53" s="8">
        <v>13599</v>
      </c>
      <c r="H53" s="56">
        <v>43100</v>
      </c>
      <c r="I53" s="8">
        <v>12025</v>
      </c>
      <c r="J53" s="5"/>
      <c r="L53" s="112"/>
      <c r="M53" s="112"/>
    </row>
    <row r="54" spans="1:13" ht="24" x14ac:dyDescent="0.25">
      <c r="A54" s="1">
        <v>47</v>
      </c>
      <c r="B54" s="6" t="s">
        <v>203</v>
      </c>
      <c r="C54" s="7" t="s">
        <v>257</v>
      </c>
      <c r="D54" s="56">
        <v>42755</v>
      </c>
      <c r="E54" s="56">
        <v>43100</v>
      </c>
      <c r="F54" s="8">
        <v>122325.25</v>
      </c>
      <c r="G54" s="8">
        <v>152906.56</v>
      </c>
      <c r="H54" s="56">
        <v>43100</v>
      </c>
      <c r="I54" s="8">
        <v>72277.149999999994</v>
      </c>
      <c r="J54" s="5"/>
      <c r="L54" s="112"/>
      <c r="M54" s="112"/>
    </row>
    <row r="55" spans="1:13" ht="24" x14ac:dyDescent="0.25">
      <c r="A55" s="1">
        <v>48</v>
      </c>
      <c r="B55" s="6" t="s">
        <v>190</v>
      </c>
      <c r="C55" s="7" t="s">
        <v>259</v>
      </c>
      <c r="D55" s="56">
        <v>42751</v>
      </c>
      <c r="E55" s="56">
        <v>42765</v>
      </c>
      <c r="F55" s="8">
        <v>11840</v>
      </c>
      <c r="G55" s="8">
        <v>14800</v>
      </c>
      <c r="H55" s="56">
        <v>42825</v>
      </c>
      <c r="I55" s="8">
        <v>14800</v>
      </c>
      <c r="J55" s="5"/>
      <c r="L55" s="112"/>
      <c r="M55" s="112"/>
    </row>
    <row r="56" spans="1:13" ht="36" x14ac:dyDescent="0.25">
      <c r="A56" s="1">
        <v>49</v>
      </c>
      <c r="B56" s="6" t="s">
        <v>97</v>
      </c>
      <c r="C56" s="7" t="s">
        <v>258</v>
      </c>
      <c r="D56" s="56">
        <v>42751</v>
      </c>
      <c r="E56" s="56">
        <v>43100</v>
      </c>
      <c r="F56" s="8">
        <v>63871</v>
      </c>
      <c r="G56" s="8">
        <v>79838.75</v>
      </c>
      <c r="H56" s="56">
        <v>43013</v>
      </c>
      <c r="I56" s="8">
        <v>35869.924999999996</v>
      </c>
      <c r="J56" s="5"/>
      <c r="L56" s="112"/>
      <c r="M56" s="112"/>
    </row>
    <row r="57" spans="1:13" ht="24" x14ac:dyDescent="0.25">
      <c r="A57" s="1">
        <v>50</v>
      </c>
      <c r="B57" s="6" t="s">
        <v>204</v>
      </c>
      <c r="C57" s="7" t="s">
        <v>260</v>
      </c>
      <c r="D57" s="56">
        <v>42748</v>
      </c>
      <c r="E57" s="56">
        <v>43100</v>
      </c>
      <c r="F57" s="8">
        <v>102353.2</v>
      </c>
      <c r="G57" s="8">
        <v>127941.5</v>
      </c>
      <c r="H57" s="56">
        <v>43100</v>
      </c>
      <c r="I57" s="8">
        <v>92894.325000000012</v>
      </c>
      <c r="J57" s="5"/>
      <c r="L57" s="112"/>
      <c r="M57" s="112"/>
    </row>
    <row r="58" spans="1:13" ht="24" x14ac:dyDescent="0.25">
      <c r="A58" s="1">
        <v>51</v>
      </c>
      <c r="B58" s="6" t="s">
        <v>203</v>
      </c>
      <c r="C58" s="7" t="s">
        <v>261</v>
      </c>
      <c r="D58" s="56">
        <v>42739</v>
      </c>
      <c r="E58" s="56">
        <v>42769</v>
      </c>
      <c r="F58" s="8">
        <v>8475.75</v>
      </c>
      <c r="G58" s="8">
        <v>10594.69</v>
      </c>
      <c r="H58" s="56">
        <v>42769</v>
      </c>
      <c r="I58" s="8">
        <v>10594.6875</v>
      </c>
      <c r="J58" s="37"/>
      <c r="L58" s="112"/>
      <c r="M58" s="112"/>
    </row>
    <row r="59" spans="1:13" ht="36" x14ac:dyDescent="0.25">
      <c r="A59" s="1">
        <v>52</v>
      </c>
      <c r="B59" s="6" t="s">
        <v>206</v>
      </c>
      <c r="C59" s="7" t="s">
        <v>263</v>
      </c>
      <c r="D59" s="56">
        <v>42751</v>
      </c>
      <c r="E59" s="56">
        <v>43100</v>
      </c>
      <c r="F59" s="8">
        <v>9600.56</v>
      </c>
      <c r="G59" s="8">
        <v>12000.7</v>
      </c>
      <c r="H59" s="56">
        <v>43100</v>
      </c>
      <c r="I59" s="8">
        <v>11933.125</v>
      </c>
      <c r="J59" s="5"/>
      <c r="L59" s="112"/>
      <c r="M59" s="112"/>
    </row>
    <row r="60" spans="1:13" ht="24" x14ac:dyDescent="0.25">
      <c r="A60" s="1">
        <v>53</v>
      </c>
      <c r="B60" s="6" t="s">
        <v>205</v>
      </c>
      <c r="C60" s="7" t="s">
        <v>262</v>
      </c>
      <c r="D60" s="56">
        <v>42737</v>
      </c>
      <c r="E60" s="56">
        <v>43100</v>
      </c>
      <c r="F60" s="8">
        <v>105000</v>
      </c>
      <c r="G60" s="8">
        <v>131250</v>
      </c>
      <c r="H60" s="56">
        <v>43100</v>
      </c>
      <c r="I60" s="8">
        <v>88864.2</v>
      </c>
      <c r="J60" s="5"/>
      <c r="L60" s="112"/>
      <c r="M60" s="112"/>
    </row>
    <row r="61" spans="1:13" x14ac:dyDescent="0.25">
      <c r="A61" s="1">
        <v>54</v>
      </c>
      <c r="B61" s="6" t="s">
        <v>16</v>
      </c>
      <c r="C61" s="7" t="s">
        <v>265</v>
      </c>
      <c r="D61" s="56">
        <v>42755</v>
      </c>
      <c r="E61" s="56">
        <v>43147</v>
      </c>
      <c r="F61" s="8">
        <v>29427.8</v>
      </c>
      <c r="G61" s="8">
        <v>36784.75</v>
      </c>
      <c r="H61" s="56">
        <v>43100</v>
      </c>
      <c r="I61" s="8">
        <v>36538.125</v>
      </c>
      <c r="J61" s="5"/>
      <c r="L61" s="112"/>
      <c r="M61" s="112"/>
    </row>
    <row r="62" spans="1:13" ht="24" x14ac:dyDescent="0.25">
      <c r="A62" s="1">
        <v>55</v>
      </c>
      <c r="B62" s="6" t="s">
        <v>193</v>
      </c>
      <c r="C62" s="7" t="s">
        <v>264</v>
      </c>
      <c r="D62" s="56">
        <v>42736</v>
      </c>
      <c r="E62" s="56">
        <v>42825</v>
      </c>
      <c r="F62" s="8">
        <v>36264.5</v>
      </c>
      <c r="G62" s="8">
        <v>45330.63</v>
      </c>
      <c r="H62" s="56">
        <v>42825</v>
      </c>
      <c r="I62" s="8">
        <v>45330.625</v>
      </c>
      <c r="J62" s="5"/>
      <c r="L62" s="112"/>
      <c r="M62" s="112"/>
    </row>
    <row r="63" spans="1:13" ht="36" x14ac:dyDescent="0.25">
      <c r="A63" s="1">
        <v>56</v>
      </c>
      <c r="B63" s="6" t="s">
        <v>208</v>
      </c>
      <c r="C63" s="7" t="s">
        <v>267</v>
      </c>
      <c r="D63" s="56">
        <v>42736</v>
      </c>
      <c r="E63" s="56">
        <v>43008</v>
      </c>
      <c r="F63" s="8">
        <v>92431.79</v>
      </c>
      <c r="G63" s="8">
        <v>115539.74</v>
      </c>
      <c r="H63" s="56">
        <v>43008</v>
      </c>
      <c r="I63" s="8">
        <v>115539.73749999999</v>
      </c>
      <c r="J63" s="5"/>
      <c r="L63" s="112"/>
      <c r="M63" s="112"/>
    </row>
    <row r="64" spans="1:13" ht="24" x14ac:dyDescent="0.25">
      <c r="A64" s="1">
        <v>57</v>
      </c>
      <c r="B64" s="6" t="s">
        <v>207</v>
      </c>
      <c r="C64" s="7" t="s">
        <v>266</v>
      </c>
      <c r="D64" s="56">
        <v>42736</v>
      </c>
      <c r="E64" s="56">
        <v>43008</v>
      </c>
      <c r="F64" s="8">
        <v>87487</v>
      </c>
      <c r="G64" s="8">
        <v>109358.75</v>
      </c>
      <c r="H64" s="56">
        <v>43008</v>
      </c>
      <c r="I64" s="8">
        <v>109358.75</v>
      </c>
      <c r="J64" s="5"/>
      <c r="L64" s="112"/>
      <c r="M64" s="112"/>
    </row>
    <row r="65" spans="1:14" ht="36" x14ac:dyDescent="0.25">
      <c r="A65" s="1">
        <v>58</v>
      </c>
      <c r="B65" s="6" t="s">
        <v>189</v>
      </c>
      <c r="C65" s="7" t="s">
        <v>268</v>
      </c>
      <c r="D65" s="56">
        <v>42541</v>
      </c>
      <c r="E65" s="56">
        <v>42906</v>
      </c>
      <c r="F65" s="8">
        <v>44552.05</v>
      </c>
      <c r="G65" s="8">
        <v>55690.06</v>
      </c>
      <c r="H65" s="56">
        <v>43008</v>
      </c>
      <c r="I65" s="8">
        <v>54408.024999999994</v>
      </c>
      <c r="J65" s="5"/>
      <c r="L65" s="112"/>
      <c r="M65" s="112"/>
    </row>
    <row r="66" spans="1:14" ht="24" x14ac:dyDescent="0.25">
      <c r="A66" s="1">
        <v>59</v>
      </c>
      <c r="B66" s="6" t="s">
        <v>195</v>
      </c>
      <c r="C66" s="7" t="s">
        <v>269</v>
      </c>
      <c r="D66" s="56">
        <v>42536</v>
      </c>
      <c r="E66" s="56">
        <v>42901</v>
      </c>
      <c r="F66" s="8">
        <v>2823010</v>
      </c>
      <c r="G66" s="8">
        <v>3528762.5</v>
      </c>
      <c r="H66" s="56">
        <v>42901</v>
      </c>
      <c r="I66" s="8">
        <v>3157315.3499999996</v>
      </c>
      <c r="J66" s="5"/>
      <c r="L66" s="112"/>
      <c r="M66" s="112"/>
    </row>
    <row r="67" spans="1:14" ht="24" x14ac:dyDescent="0.25">
      <c r="A67" s="1">
        <v>60</v>
      </c>
      <c r="B67" s="6" t="s">
        <v>209</v>
      </c>
      <c r="C67" s="7" t="s">
        <v>270</v>
      </c>
      <c r="D67" s="56">
        <v>42566</v>
      </c>
      <c r="E67" s="56">
        <v>43147</v>
      </c>
      <c r="F67" s="8">
        <v>107642.3</v>
      </c>
      <c r="G67" s="8">
        <v>134552.88</v>
      </c>
      <c r="H67" s="56">
        <v>43100</v>
      </c>
      <c r="I67" s="8">
        <v>37313.75</v>
      </c>
      <c r="J67" s="5"/>
      <c r="L67" s="112"/>
      <c r="M67" s="112"/>
    </row>
    <row r="68" spans="1:14" ht="24" x14ac:dyDescent="0.25">
      <c r="A68" s="1">
        <v>61</v>
      </c>
      <c r="B68" s="6" t="s">
        <v>194</v>
      </c>
      <c r="C68" s="7" t="s">
        <v>271</v>
      </c>
      <c r="D68" s="56">
        <v>42507</v>
      </c>
      <c r="E68" s="56">
        <v>42875</v>
      </c>
      <c r="F68" s="8">
        <v>74747.5</v>
      </c>
      <c r="G68" s="8">
        <v>93434.38</v>
      </c>
      <c r="H68" s="56">
        <v>42875</v>
      </c>
      <c r="I68" s="8">
        <v>67534.375</v>
      </c>
      <c r="J68" s="5"/>
      <c r="L68" s="112"/>
      <c r="M68" s="112"/>
    </row>
    <row r="69" spans="1:14" ht="24" x14ac:dyDescent="0.25">
      <c r="A69" s="1">
        <v>62</v>
      </c>
      <c r="B69" s="6" t="s">
        <v>210</v>
      </c>
      <c r="C69" s="7" t="s">
        <v>272</v>
      </c>
      <c r="D69" s="56">
        <v>42471</v>
      </c>
      <c r="E69" s="56">
        <v>42836</v>
      </c>
      <c r="F69" s="8">
        <v>1224507.3999999999</v>
      </c>
      <c r="G69" s="8">
        <v>1530634.25</v>
      </c>
      <c r="H69" s="56">
        <v>42836</v>
      </c>
      <c r="I69" s="8">
        <v>1398856.8125</v>
      </c>
      <c r="J69" s="5"/>
      <c r="L69" s="112"/>
      <c r="M69" s="112"/>
    </row>
    <row r="70" spans="1:14" ht="24" x14ac:dyDescent="0.25">
      <c r="A70" s="1">
        <v>63</v>
      </c>
      <c r="B70" s="6" t="s">
        <v>211</v>
      </c>
      <c r="C70" s="7" t="s">
        <v>72</v>
      </c>
      <c r="D70" s="56">
        <v>42447</v>
      </c>
      <c r="E70" s="56">
        <v>43177</v>
      </c>
      <c r="F70" s="8">
        <v>8000</v>
      </c>
      <c r="G70" s="8">
        <v>10000</v>
      </c>
      <c r="H70" s="56">
        <v>43100</v>
      </c>
      <c r="I70" s="8">
        <v>6060.625</v>
      </c>
      <c r="J70" s="5"/>
      <c r="L70" s="112"/>
      <c r="M70" s="112"/>
    </row>
    <row r="71" spans="1:14" x14ac:dyDescent="0.25">
      <c r="A71" s="1">
        <v>64</v>
      </c>
      <c r="B71" s="6" t="s">
        <v>17</v>
      </c>
      <c r="C71" s="7" t="s">
        <v>273</v>
      </c>
      <c r="D71" s="56">
        <v>42444</v>
      </c>
      <c r="E71" s="56">
        <v>42809</v>
      </c>
      <c r="F71" s="8">
        <v>175385.08</v>
      </c>
      <c r="G71" s="8">
        <v>219231.35</v>
      </c>
      <c r="H71" s="56">
        <v>42809</v>
      </c>
      <c r="I71" s="8">
        <v>286239.17499999999</v>
      </c>
      <c r="J71" s="5"/>
      <c r="L71" s="112"/>
      <c r="M71" s="112"/>
    </row>
    <row r="72" spans="1:14" ht="24" x14ac:dyDescent="0.25">
      <c r="A72" s="1">
        <v>65</v>
      </c>
      <c r="B72" s="6" t="s">
        <v>196</v>
      </c>
      <c r="C72" s="7" t="s">
        <v>275</v>
      </c>
      <c r="D72" s="56">
        <v>42416</v>
      </c>
      <c r="E72" s="56">
        <v>42782</v>
      </c>
      <c r="F72" s="8">
        <v>96278.3</v>
      </c>
      <c r="G72" s="8">
        <v>120347.88</v>
      </c>
      <c r="H72" s="56">
        <v>42803</v>
      </c>
      <c r="I72" s="8">
        <v>61105</v>
      </c>
      <c r="J72" s="5"/>
      <c r="L72" s="112"/>
      <c r="M72" s="112"/>
    </row>
    <row r="73" spans="1:14" x14ac:dyDescent="0.25">
      <c r="A73" s="1">
        <v>66</v>
      </c>
      <c r="B73" s="6" t="s">
        <v>212</v>
      </c>
      <c r="C73" s="7" t="s">
        <v>274</v>
      </c>
      <c r="D73" s="56">
        <v>42655</v>
      </c>
      <c r="E73" s="56">
        <v>43147</v>
      </c>
      <c r="F73" s="8">
        <v>11129.75</v>
      </c>
      <c r="G73" s="8">
        <v>13912.19</v>
      </c>
      <c r="H73" s="56">
        <v>43100</v>
      </c>
      <c r="I73" s="8">
        <v>52545.4</v>
      </c>
      <c r="J73" s="5"/>
      <c r="L73" s="112"/>
      <c r="M73" s="112"/>
    </row>
    <row r="74" spans="1:14" ht="24" x14ac:dyDescent="0.25">
      <c r="A74" s="1">
        <v>67</v>
      </c>
      <c r="B74" s="68" t="s">
        <v>201</v>
      </c>
      <c r="C74" s="69" t="s">
        <v>276</v>
      </c>
      <c r="D74" s="94">
        <v>42416</v>
      </c>
      <c r="E74" s="94">
        <v>42781</v>
      </c>
      <c r="F74" s="95">
        <v>39599.75</v>
      </c>
      <c r="G74" s="95">
        <v>49499.69</v>
      </c>
      <c r="H74" s="94">
        <v>42781</v>
      </c>
      <c r="I74" s="95">
        <v>21441.3125</v>
      </c>
      <c r="J74" s="110"/>
      <c r="L74" s="112"/>
      <c r="M74" s="112"/>
    </row>
    <row r="75" spans="1:14" s="112" customFormat="1" x14ac:dyDescent="0.25">
      <c r="A75" s="1">
        <v>68</v>
      </c>
      <c r="B75" s="6" t="s">
        <v>198</v>
      </c>
      <c r="C75" s="99" t="s">
        <v>277</v>
      </c>
      <c r="D75" s="98">
        <v>42426</v>
      </c>
      <c r="E75" s="98">
        <v>42792</v>
      </c>
      <c r="F75" s="97">
        <v>342429.47</v>
      </c>
      <c r="G75" s="97">
        <v>428036.84</v>
      </c>
      <c r="H75" s="98">
        <v>42825</v>
      </c>
      <c r="I75" s="97">
        <v>430983.30000000005</v>
      </c>
      <c r="J75" s="97"/>
    </row>
    <row r="76" spans="1:14" ht="7.5" customHeight="1" x14ac:dyDescent="0.25"/>
    <row r="77" spans="1:14" x14ac:dyDescent="0.25">
      <c r="A77" s="175" t="s">
        <v>41</v>
      </c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</row>
    <row r="78" spans="1:14" ht="36" x14ac:dyDescent="0.25">
      <c r="A78" s="53" t="s">
        <v>0</v>
      </c>
      <c r="B78" s="54" t="s">
        <v>1</v>
      </c>
      <c r="C78" s="54" t="s">
        <v>3</v>
      </c>
      <c r="D78" s="178" t="s">
        <v>171</v>
      </c>
      <c r="E78" s="178"/>
      <c r="F78" s="54" t="s">
        <v>166</v>
      </c>
      <c r="G78" s="54" t="s">
        <v>170</v>
      </c>
      <c r="H78" s="54" t="s">
        <v>167</v>
      </c>
      <c r="I78" s="54" t="s">
        <v>4</v>
      </c>
      <c r="J78" s="54" t="s">
        <v>5</v>
      </c>
      <c r="K78" s="54" t="s">
        <v>2</v>
      </c>
      <c r="L78" s="54" t="s">
        <v>172</v>
      </c>
      <c r="M78" s="54" t="s">
        <v>173</v>
      </c>
      <c r="N78" s="54" t="s">
        <v>169</v>
      </c>
    </row>
    <row r="79" spans="1:14" ht="37.5" customHeight="1" x14ac:dyDescent="0.25">
      <c r="A79" s="1">
        <v>1</v>
      </c>
      <c r="B79" s="4" t="s">
        <v>52</v>
      </c>
      <c r="C79" s="1" t="s">
        <v>73</v>
      </c>
      <c r="D79" s="179" t="s">
        <v>1015</v>
      </c>
      <c r="E79" s="180"/>
      <c r="F79" s="38" t="s">
        <v>98</v>
      </c>
      <c r="G79" s="38">
        <v>30192000</v>
      </c>
      <c r="H79" s="1" t="s">
        <v>15</v>
      </c>
      <c r="I79" s="15">
        <v>42493</v>
      </c>
      <c r="J79" s="1" t="s">
        <v>51</v>
      </c>
      <c r="K79" s="8">
        <v>11989530.5</v>
      </c>
      <c r="L79" s="8">
        <f>K79*0.25</f>
        <v>2997382.625</v>
      </c>
      <c r="M79" s="8">
        <v>14986913.130000001</v>
      </c>
      <c r="N79" s="176"/>
    </row>
    <row r="80" spans="1:14" ht="15" customHeight="1" x14ac:dyDescent="0.25">
      <c r="A80" s="177" t="s">
        <v>1012</v>
      </c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8">
        <v>8661308.0500000007</v>
      </c>
      <c r="N80" s="176"/>
    </row>
    <row r="81" spans="1:13" ht="7.5" customHeight="1" x14ac:dyDescent="0.25"/>
    <row r="82" spans="1:13" ht="15" customHeight="1" x14ac:dyDescent="0.25">
      <c r="A82" s="175" t="s">
        <v>12</v>
      </c>
      <c r="B82" s="175"/>
      <c r="C82" s="175"/>
      <c r="D82" s="175"/>
      <c r="E82" s="175"/>
      <c r="F82" s="175"/>
      <c r="G82" s="175"/>
      <c r="H82" s="175"/>
      <c r="I82" s="175"/>
      <c r="J82" s="175"/>
      <c r="K82" s="49"/>
      <c r="L82" s="49"/>
    </row>
    <row r="83" spans="1:13" ht="48" customHeight="1" x14ac:dyDescent="0.25">
      <c r="A83" s="2" t="s">
        <v>0</v>
      </c>
      <c r="B83" s="3" t="s">
        <v>7</v>
      </c>
      <c r="C83" s="3" t="s">
        <v>6</v>
      </c>
      <c r="D83" s="3" t="s">
        <v>8</v>
      </c>
      <c r="E83" s="3" t="s">
        <v>168</v>
      </c>
      <c r="F83" s="3" t="s">
        <v>174</v>
      </c>
      <c r="G83" s="3" t="s">
        <v>175</v>
      </c>
      <c r="H83" s="3" t="s">
        <v>9</v>
      </c>
      <c r="I83" s="3" t="s">
        <v>176</v>
      </c>
      <c r="J83" s="3" t="s">
        <v>10</v>
      </c>
      <c r="K83" s="48"/>
      <c r="L83" s="48"/>
      <c r="M83" s="48"/>
    </row>
    <row r="84" spans="1:13" ht="36.75" x14ac:dyDescent="0.25">
      <c r="A84" s="1">
        <v>1</v>
      </c>
      <c r="B84" s="58" t="s">
        <v>188</v>
      </c>
      <c r="C84" s="7" t="s">
        <v>280</v>
      </c>
      <c r="D84" s="56">
        <v>43076</v>
      </c>
      <c r="E84" s="56">
        <v>43088</v>
      </c>
      <c r="F84" s="8">
        <v>3904.21</v>
      </c>
      <c r="G84" s="8">
        <v>4880.26</v>
      </c>
      <c r="H84" s="56">
        <v>43100</v>
      </c>
      <c r="I84" s="101">
        <v>4925.2624999999998</v>
      </c>
      <c r="J84" s="97"/>
      <c r="L84" s="100"/>
    </row>
    <row r="85" spans="1:13" ht="24.75" x14ac:dyDescent="0.25">
      <c r="A85" s="1">
        <v>2</v>
      </c>
      <c r="B85" s="58" t="s">
        <v>190</v>
      </c>
      <c r="C85" s="7" t="s">
        <v>281</v>
      </c>
      <c r="D85" s="56">
        <v>43067</v>
      </c>
      <c r="E85" s="56">
        <v>43081</v>
      </c>
      <c r="F85" s="8">
        <v>8622.4</v>
      </c>
      <c r="G85" s="8">
        <v>10778</v>
      </c>
      <c r="H85" s="56">
        <v>43081</v>
      </c>
      <c r="I85" s="101">
        <v>10778</v>
      </c>
      <c r="J85" s="97"/>
      <c r="L85" s="100"/>
    </row>
    <row r="86" spans="1:13" ht="24.75" x14ac:dyDescent="0.25">
      <c r="A86" s="1">
        <v>3</v>
      </c>
      <c r="B86" s="58" t="s">
        <v>190</v>
      </c>
      <c r="C86" s="7" t="s">
        <v>282</v>
      </c>
      <c r="D86" s="56">
        <v>43052</v>
      </c>
      <c r="E86" s="56">
        <v>43066</v>
      </c>
      <c r="F86" s="8">
        <v>169</v>
      </c>
      <c r="G86" s="8">
        <v>211.25</v>
      </c>
      <c r="H86" s="56">
        <v>43066</v>
      </c>
      <c r="I86" s="101">
        <v>211.25</v>
      </c>
      <c r="J86" s="97"/>
      <c r="L86" s="100"/>
    </row>
    <row r="87" spans="1:13" ht="36.75" x14ac:dyDescent="0.25">
      <c r="A87" s="1">
        <v>4</v>
      </c>
      <c r="B87" s="58" t="s">
        <v>189</v>
      </c>
      <c r="C87" s="7" t="s">
        <v>283</v>
      </c>
      <c r="D87" s="56">
        <v>43034</v>
      </c>
      <c r="E87" s="56">
        <v>43097</v>
      </c>
      <c r="F87" s="8">
        <v>15857.79</v>
      </c>
      <c r="G87" s="8">
        <v>19822.240000000002</v>
      </c>
      <c r="H87" s="56">
        <v>43100</v>
      </c>
      <c r="I87" s="101">
        <v>5036.0625</v>
      </c>
      <c r="J87" s="97"/>
      <c r="L87" s="100"/>
    </row>
    <row r="88" spans="1:13" ht="24" x14ac:dyDescent="0.25">
      <c r="A88" s="1">
        <v>5</v>
      </c>
      <c r="B88" s="58" t="s">
        <v>18</v>
      </c>
      <c r="C88" s="7" t="s">
        <v>284</v>
      </c>
      <c r="D88" s="56">
        <v>43033</v>
      </c>
      <c r="E88" s="56">
        <v>43100</v>
      </c>
      <c r="F88" s="8">
        <v>309900.48</v>
      </c>
      <c r="G88" s="8">
        <v>387375.6</v>
      </c>
      <c r="H88" s="56">
        <v>43100</v>
      </c>
      <c r="I88" s="101">
        <v>369159.82499999995</v>
      </c>
      <c r="J88" s="97"/>
      <c r="L88" s="100"/>
    </row>
    <row r="89" spans="1:13" ht="24.75" x14ac:dyDescent="0.25">
      <c r="A89" s="1">
        <v>6</v>
      </c>
      <c r="B89" s="58" t="s">
        <v>190</v>
      </c>
      <c r="C89" s="7" t="s">
        <v>285</v>
      </c>
      <c r="D89" s="56">
        <v>43031</v>
      </c>
      <c r="E89" s="56">
        <v>43045</v>
      </c>
      <c r="F89" s="8">
        <v>120</v>
      </c>
      <c r="G89" s="8">
        <v>150</v>
      </c>
      <c r="H89" s="56">
        <v>43045</v>
      </c>
      <c r="I89" s="101">
        <v>150</v>
      </c>
      <c r="J89" s="97"/>
      <c r="L89" s="100"/>
    </row>
    <row r="90" spans="1:13" ht="24.75" x14ac:dyDescent="0.25">
      <c r="A90" s="1">
        <v>7</v>
      </c>
      <c r="B90" s="58" t="s">
        <v>190</v>
      </c>
      <c r="C90" s="7" t="s">
        <v>286</v>
      </c>
      <c r="D90" s="56">
        <v>43018</v>
      </c>
      <c r="E90" s="56">
        <v>43032</v>
      </c>
      <c r="F90" s="8">
        <v>3632.8</v>
      </c>
      <c r="G90" s="8">
        <v>4541</v>
      </c>
      <c r="H90" s="56">
        <v>43032</v>
      </c>
      <c r="I90" s="101">
        <v>4541</v>
      </c>
      <c r="J90" s="97"/>
      <c r="L90" s="100"/>
    </row>
    <row r="91" spans="1:13" ht="24" x14ac:dyDescent="0.25">
      <c r="A91" s="1">
        <v>8</v>
      </c>
      <c r="B91" s="58" t="s">
        <v>191</v>
      </c>
      <c r="C91" s="7" t="s">
        <v>287</v>
      </c>
      <c r="D91" s="56">
        <v>43013</v>
      </c>
      <c r="E91" s="56">
        <v>43088</v>
      </c>
      <c r="F91" s="8">
        <v>16126.2</v>
      </c>
      <c r="G91" s="8">
        <v>20157.75</v>
      </c>
      <c r="H91" s="56">
        <v>43088</v>
      </c>
      <c r="I91" s="101">
        <v>20157.75</v>
      </c>
      <c r="J91" s="97"/>
      <c r="L91" s="100"/>
    </row>
    <row r="92" spans="1:13" ht="36.75" x14ac:dyDescent="0.25">
      <c r="A92" s="1">
        <v>9</v>
      </c>
      <c r="B92" s="58" t="s">
        <v>192</v>
      </c>
      <c r="C92" s="7" t="s">
        <v>288</v>
      </c>
      <c r="D92" s="56">
        <v>43100</v>
      </c>
      <c r="E92" s="56">
        <v>43100</v>
      </c>
      <c r="F92" s="8">
        <v>1003.75</v>
      </c>
      <c r="G92" s="8">
        <v>1254.69</v>
      </c>
      <c r="H92" s="56">
        <v>43100</v>
      </c>
      <c r="I92" s="101">
        <v>1254.6875</v>
      </c>
      <c r="J92" s="97"/>
      <c r="L92" s="100"/>
    </row>
    <row r="93" spans="1:13" ht="36.75" x14ac:dyDescent="0.25">
      <c r="A93" s="1">
        <v>10</v>
      </c>
      <c r="B93" s="58" t="s">
        <v>192</v>
      </c>
      <c r="C93" s="7" t="s">
        <v>289</v>
      </c>
      <c r="D93" s="56">
        <v>43100</v>
      </c>
      <c r="E93" s="56">
        <v>43100</v>
      </c>
      <c r="F93" s="8">
        <v>1612.06</v>
      </c>
      <c r="G93" s="8">
        <v>2015.08</v>
      </c>
      <c r="H93" s="56">
        <v>43100</v>
      </c>
      <c r="I93" s="101">
        <v>2015.0749999999998</v>
      </c>
      <c r="J93" s="97"/>
      <c r="L93" s="100"/>
    </row>
    <row r="94" spans="1:13" ht="36.75" x14ac:dyDescent="0.25">
      <c r="A94" s="1">
        <v>11</v>
      </c>
      <c r="B94" s="58" t="s">
        <v>97</v>
      </c>
      <c r="C94" s="7" t="s">
        <v>290</v>
      </c>
      <c r="D94" s="56">
        <v>43000</v>
      </c>
      <c r="E94" s="56">
        <v>43007</v>
      </c>
      <c r="F94" s="8">
        <v>1750</v>
      </c>
      <c r="G94" s="8">
        <v>2187.5</v>
      </c>
      <c r="H94" s="162"/>
      <c r="I94" s="163">
        <v>0</v>
      </c>
      <c r="J94" s="97"/>
      <c r="L94" s="100"/>
    </row>
    <row r="95" spans="1:13" ht="36.75" x14ac:dyDescent="0.25">
      <c r="A95" s="1">
        <v>12</v>
      </c>
      <c r="B95" s="58" t="s">
        <v>189</v>
      </c>
      <c r="C95" s="7" t="s">
        <v>291</v>
      </c>
      <c r="D95" s="56">
        <v>42985</v>
      </c>
      <c r="E95" s="56">
        <v>43063</v>
      </c>
      <c r="F95" s="8">
        <v>16485.88</v>
      </c>
      <c r="G95" s="8">
        <v>20607.349999999999</v>
      </c>
      <c r="H95" s="56">
        <v>43100</v>
      </c>
      <c r="I95" s="101">
        <v>21482.975000000002</v>
      </c>
      <c r="J95" s="97"/>
      <c r="L95" s="100"/>
    </row>
    <row r="96" spans="1:13" ht="24.75" x14ac:dyDescent="0.25">
      <c r="A96" s="1">
        <v>13</v>
      </c>
      <c r="B96" s="58" t="s">
        <v>190</v>
      </c>
      <c r="C96" s="7" t="s">
        <v>292</v>
      </c>
      <c r="D96" s="56">
        <v>42982</v>
      </c>
      <c r="E96" s="56">
        <v>42996</v>
      </c>
      <c r="F96" s="8">
        <v>7232.15</v>
      </c>
      <c r="G96" s="8">
        <v>9040.19</v>
      </c>
      <c r="H96" s="56">
        <v>43008</v>
      </c>
      <c r="I96" s="101">
        <v>9040.1875</v>
      </c>
      <c r="J96" s="97"/>
      <c r="L96" s="100"/>
    </row>
    <row r="97" spans="1:12" x14ac:dyDescent="0.25">
      <c r="A97" s="1">
        <v>14</v>
      </c>
      <c r="B97" s="58" t="s">
        <v>17</v>
      </c>
      <c r="C97" s="7" t="s">
        <v>293</v>
      </c>
      <c r="D97" s="56">
        <v>42944</v>
      </c>
      <c r="E97" s="56">
        <v>43309</v>
      </c>
      <c r="F97" s="8">
        <v>174603.19</v>
      </c>
      <c r="G97" s="8">
        <v>218253.99</v>
      </c>
      <c r="H97" s="56">
        <v>43100</v>
      </c>
      <c r="I97" s="101">
        <v>40515.85</v>
      </c>
      <c r="J97" s="97"/>
      <c r="L97" s="100"/>
    </row>
    <row r="98" spans="1:12" ht="36.75" x14ac:dyDescent="0.25">
      <c r="A98" s="1">
        <v>15</v>
      </c>
      <c r="B98" s="58" t="s">
        <v>188</v>
      </c>
      <c r="C98" s="7" t="s">
        <v>294</v>
      </c>
      <c r="D98" s="56">
        <v>42922</v>
      </c>
      <c r="E98" s="56">
        <v>42986</v>
      </c>
      <c r="F98" s="8">
        <v>2280.4</v>
      </c>
      <c r="G98" s="8">
        <v>2850.5</v>
      </c>
      <c r="H98" s="56">
        <v>43008</v>
      </c>
      <c r="I98" s="101">
        <v>2850.5</v>
      </c>
      <c r="J98" s="97"/>
      <c r="L98" s="100"/>
    </row>
    <row r="99" spans="1:12" ht="24" x14ac:dyDescent="0.25">
      <c r="A99" s="1">
        <v>16</v>
      </c>
      <c r="B99" s="58" t="s">
        <v>18</v>
      </c>
      <c r="C99" s="7" t="s">
        <v>295</v>
      </c>
      <c r="D99" s="56">
        <v>42919</v>
      </c>
      <c r="E99" s="56">
        <v>43008</v>
      </c>
      <c r="F99" s="8">
        <v>287235.48</v>
      </c>
      <c r="G99" s="8">
        <v>359044.35</v>
      </c>
      <c r="H99" s="56">
        <v>43008</v>
      </c>
      <c r="I99" s="101">
        <v>326228.47499999998</v>
      </c>
      <c r="J99" s="97"/>
      <c r="L99" s="100"/>
    </row>
    <row r="100" spans="1:12" ht="36.75" x14ac:dyDescent="0.25">
      <c r="A100" s="1">
        <v>17</v>
      </c>
      <c r="B100" s="58" t="s">
        <v>192</v>
      </c>
      <c r="C100" s="7" t="s">
        <v>296</v>
      </c>
      <c r="D100" s="56">
        <v>42917</v>
      </c>
      <c r="E100" s="56">
        <v>43008</v>
      </c>
      <c r="F100" s="8">
        <v>2167.87</v>
      </c>
      <c r="G100" s="8">
        <v>2709.84</v>
      </c>
      <c r="H100" s="56">
        <v>43008</v>
      </c>
      <c r="I100" s="101">
        <v>2709.8374999999996</v>
      </c>
      <c r="J100" s="97"/>
      <c r="L100" s="100"/>
    </row>
    <row r="101" spans="1:12" ht="36.75" x14ac:dyDescent="0.25">
      <c r="A101" s="1">
        <v>18</v>
      </c>
      <c r="B101" s="58" t="s">
        <v>192</v>
      </c>
      <c r="C101" s="7" t="s">
        <v>297</v>
      </c>
      <c r="D101" s="56">
        <v>42917</v>
      </c>
      <c r="E101" s="56">
        <v>43008</v>
      </c>
      <c r="F101" s="8">
        <v>2826.63</v>
      </c>
      <c r="G101" s="8">
        <v>3533.29</v>
      </c>
      <c r="H101" s="56">
        <v>43008</v>
      </c>
      <c r="I101" s="101">
        <v>3533.2875000000004</v>
      </c>
      <c r="J101" s="97"/>
      <c r="L101" s="100"/>
    </row>
    <row r="102" spans="1:12" ht="36.75" x14ac:dyDescent="0.25">
      <c r="A102" s="1">
        <v>19</v>
      </c>
      <c r="B102" s="58" t="s">
        <v>192</v>
      </c>
      <c r="C102" s="7" t="s">
        <v>298</v>
      </c>
      <c r="D102" s="56">
        <v>42917</v>
      </c>
      <c r="E102" s="56">
        <v>43008</v>
      </c>
      <c r="F102" s="8">
        <v>1314.82</v>
      </c>
      <c r="G102" s="8">
        <v>1643.53</v>
      </c>
      <c r="H102" s="56">
        <v>43008</v>
      </c>
      <c r="I102" s="101">
        <v>1643.5249999999999</v>
      </c>
      <c r="J102" s="97"/>
      <c r="L102" s="100"/>
    </row>
    <row r="103" spans="1:12" ht="24.75" x14ac:dyDescent="0.25">
      <c r="A103" s="1">
        <v>20</v>
      </c>
      <c r="B103" s="58" t="s">
        <v>194</v>
      </c>
      <c r="C103" s="7" t="s">
        <v>299</v>
      </c>
      <c r="D103" s="56">
        <v>42913</v>
      </c>
      <c r="E103" s="56">
        <v>42913</v>
      </c>
      <c r="F103" s="8">
        <v>5920</v>
      </c>
      <c r="G103" s="8">
        <v>7400</v>
      </c>
      <c r="H103" s="56">
        <v>42916</v>
      </c>
      <c r="I103" s="101">
        <v>7400</v>
      </c>
      <c r="J103" s="97"/>
      <c r="L103" s="100"/>
    </row>
    <row r="104" spans="1:12" ht="36.75" x14ac:dyDescent="0.25">
      <c r="A104" s="1">
        <v>21</v>
      </c>
      <c r="B104" s="58" t="s">
        <v>189</v>
      </c>
      <c r="C104" s="7" t="s">
        <v>300</v>
      </c>
      <c r="D104" s="56">
        <v>42912</v>
      </c>
      <c r="E104" s="56">
        <v>42971</v>
      </c>
      <c r="F104" s="8">
        <v>3432.56</v>
      </c>
      <c r="G104" s="8">
        <v>4290.7</v>
      </c>
      <c r="H104" s="56">
        <v>43008</v>
      </c>
      <c r="I104" s="101">
        <v>4290.7</v>
      </c>
      <c r="J104" s="97"/>
      <c r="L104" s="100"/>
    </row>
    <row r="105" spans="1:12" x14ac:dyDescent="0.25">
      <c r="A105" s="1">
        <v>22</v>
      </c>
      <c r="B105" s="58" t="s">
        <v>198</v>
      </c>
      <c r="C105" s="7" t="s">
        <v>301</v>
      </c>
      <c r="D105" s="10" t="s">
        <v>360</v>
      </c>
      <c r="E105" s="56">
        <v>43223</v>
      </c>
      <c r="F105" s="8">
        <v>283820.65000000002</v>
      </c>
      <c r="G105" s="8">
        <v>354775.81</v>
      </c>
      <c r="H105" s="56">
        <v>43100</v>
      </c>
      <c r="I105" s="101">
        <v>126074.25</v>
      </c>
      <c r="J105" s="97"/>
      <c r="L105" s="100"/>
    </row>
    <row r="106" spans="1:12" ht="24.75" x14ac:dyDescent="0.25">
      <c r="A106" s="1">
        <v>23</v>
      </c>
      <c r="B106" s="58" t="s">
        <v>195</v>
      </c>
      <c r="C106" s="7" t="s">
        <v>302</v>
      </c>
      <c r="D106" s="56">
        <v>42895</v>
      </c>
      <c r="E106" s="56">
        <v>43222</v>
      </c>
      <c r="F106" s="8">
        <v>2001804.75</v>
      </c>
      <c r="G106" s="8">
        <v>2502255.94</v>
      </c>
      <c r="H106" s="56">
        <v>43100</v>
      </c>
      <c r="I106" s="101">
        <v>1318224.7750000001</v>
      </c>
      <c r="J106" s="97"/>
      <c r="L106" s="100"/>
    </row>
    <row r="107" spans="1:12" ht="24.75" x14ac:dyDescent="0.25">
      <c r="A107" s="1">
        <v>24</v>
      </c>
      <c r="B107" s="58" t="s">
        <v>187</v>
      </c>
      <c r="C107" s="7" t="s">
        <v>303</v>
      </c>
      <c r="D107" s="56">
        <v>42894</v>
      </c>
      <c r="E107" s="56">
        <v>43223</v>
      </c>
      <c r="F107" s="8">
        <v>60148.98</v>
      </c>
      <c r="G107" s="8">
        <v>75186.23</v>
      </c>
      <c r="H107" s="56">
        <v>42916</v>
      </c>
      <c r="I107" s="101">
        <v>4710.8249999999998</v>
      </c>
      <c r="J107" s="97"/>
      <c r="L107" s="100"/>
    </row>
    <row r="108" spans="1:12" ht="24.75" x14ac:dyDescent="0.25">
      <c r="A108" s="1">
        <v>25</v>
      </c>
      <c r="B108" s="58" t="s">
        <v>203</v>
      </c>
      <c r="C108" s="7" t="s">
        <v>304</v>
      </c>
      <c r="D108" s="56">
        <v>42893</v>
      </c>
      <c r="E108" s="56">
        <v>43223</v>
      </c>
      <c r="F108" s="8">
        <v>76684</v>
      </c>
      <c r="G108" s="8">
        <v>95855</v>
      </c>
      <c r="H108" s="56">
        <v>43100</v>
      </c>
      <c r="I108" s="101">
        <v>21999.737500000003</v>
      </c>
      <c r="J108" s="97"/>
      <c r="L108" s="100"/>
    </row>
    <row r="109" spans="1:12" ht="24.75" x14ac:dyDescent="0.25">
      <c r="A109" s="1">
        <v>26</v>
      </c>
      <c r="B109" s="58" t="s">
        <v>190</v>
      </c>
      <c r="C109" s="7" t="s">
        <v>305</v>
      </c>
      <c r="D109" s="56">
        <v>42886</v>
      </c>
      <c r="E109" s="56">
        <v>42899</v>
      </c>
      <c r="F109" s="8">
        <v>4446.8999999999996</v>
      </c>
      <c r="G109" s="8">
        <v>5558.63</v>
      </c>
      <c r="H109" s="56">
        <v>42899</v>
      </c>
      <c r="I109" s="101">
        <v>5558.625</v>
      </c>
      <c r="J109" s="97"/>
      <c r="L109" s="100"/>
    </row>
    <row r="110" spans="1:12" ht="24" x14ac:dyDescent="0.25">
      <c r="A110" s="1">
        <v>27</v>
      </c>
      <c r="B110" s="58" t="s">
        <v>186</v>
      </c>
      <c r="C110" s="7" t="s">
        <v>306</v>
      </c>
      <c r="D110" s="56">
        <v>42852</v>
      </c>
      <c r="E110" s="56">
        <v>43239</v>
      </c>
      <c r="F110" s="8">
        <v>114424</v>
      </c>
      <c r="G110" s="8">
        <v>143030</v>
      </c>
      <c r="H110" s="56">
        <v>43008</v>
      </c>
      <c r="I110" s="101">
        <v>12679.487499999999</v>
      </c>
      <c r="J110" s="97"/>
      <c r="L110" s="100"/>
    </row>
    <row r="111" spans="1:12" ht="24.75" x14ac:dyDescent="0.25">
      <c r="A111" s="1">
        <v>28</v>
      </c>
      <c r="B111" s="58" t="s">
        <v>196</v>
      </c>
      <c r="C111" s="7" t="s">
        <v>307</v>
      </c>
      <c r="D111" s="56">
        <v>42874</v>
      </c>
      <c r="E111" s="56">
        <v>43223</v>
      </c>
      <c r="F111" s="8">
        <v>101498.8</v>
      </c>
      <c r="G111" s="8">
        <v>126873.5</v>
      </c>
      <c r="H111" s="56">
        <v>43100</v>
      </c>
      <c r="I111" s="101">
        <v>23462.4375</v>
      </c>
      <c r="J111" s="97"/>
      <c r="L111" s="100"/>
    </row>
    <row r="112" spans="1:12" ht="24.75" x14ac:dyDescent="0.25">
      <c r="A112" s="1">
        <v>29</v>
      </c>
      <c r="B112" s="58" t="s">
        <v>194</v>
      </c>
      <c r="C112" s="7" t="s">
        <v>308</v>
      </c>
      <c r="D112" s="56">
        <v>42859</v>
      </c>
      <c r="E112" s="56">
        <v>43223</v>
      </c>
      <c r="F112" s="8">
        <v>62400</v>
      </c>
      <c r="G112" s="8">
        <v>78000</v>
      </c>
      <c r="H112" s="56">
        <v>43100</v>
      </c>
      <c r="I112" s="101">
        <v>55968.149999999994</v>
      </c>
      <c r="J112" s="97"/>
      <c r="L112" s="100"/>
    </row>
    <row r="113" spans="1:12" ht="24" x14ac:dyDescent="0.25">
      <c r="A113" s="1">
        <v>30</v>
      </c>
      <c r="B113" s="58" t="s">
        <v>18</v>
      </c>
      <c r="C113" s="7" t="s">
        <v>309</v>
      </c>
      <c r="D113" s="56">
        <v>42857</v>
      </c>
      <c r="E113" s="56">
        <v>42916</v>
      </c>
      <c r="F113" s="8">
        <v>320434.7</v>
      </c>
      <c r="G113" s="8">
        <v>400543.38</v>
      </c>
      <c r="H113" s="56">
        <v>42916</v>
      </c>
      <c r="I113" s="101">
        <v>329291.60000000003</v>
      </c>
      <c r="J113" s="97"/>
      <c r="L113" s="100"/>
    </row>
    <row r="114" spans="1:12" ht="36.75" x14ac:dyDescent="0.25">
      <c r="A114" s="1">
        <v>31</v>
      </c>
      <c r="B114" s="58" t="s">
        <v>192</v>
      </c>
      <c r="C114" s="7" t="s">
        <v>310</v>
      </c>
      <c r="D114" s="56">
        <v>42835</v>
      </c>
      <c r="E114" s="56">
        <v>42916</v>
      </c>
      <c r="F114" s="8">
        <v>2529.3000000000002</v>
      </c>
      <c r="G114" s="8">
        <v>3161.63</v>
      </c>
      <c r="H114" s="56">
        <v>42916</v>
      </c>
      <c r="I114" s="101">
        <v>3161.625</v>
      </c>
      <c r="J114" s="97"/>
      <c r="L114" s="100"/>
    </row>
    <row r="115" spans="1:12" ht="36.75" x14ac:dyDescent="0.25">
      <c r="A115" s="1">
        <v>32</v>
      </c>
      <c r="B115" s="58" t="s">
        <v>192</v>
      </c>
      <c r="C115" s="7" t="s">
        <v>311</v>
      </c>
      <c r="D115" s="56">
        <v>42835</v>
      </c>
      <c r="E115" s="56">
        <v>42916</v>
      </c>
      <c r="F115" s="8">
        <v>6500.65</v>
      </c>
      <c r="G115" s="8">
        <v>8125.81</v>
      </c>
      <c r="H115" s="56">
        <v>42916</v>
      </c>
      <c r="I115" s="101">
        <v>8125.8125</v>
      </c>
      <c r="J115" s="97"/>
      <c r="L115" s="100"/>
    </row>
    <row r="116" spans="1:12" ht="36.75" x14ac:dyDescent="0.25">
      <c r="A116" s="1">
        <v>33</v>
      </c>
      <c r="B116" s="58" t="s">
        <v>192</v>
      </c>
      <c r="C116" s="7" t="s">
        <v>312</v>
      </c>
      <c r="D116" s="56">
        <v>42835</v>
      </c>
      <c r="E116" s="56">
        <v>42916</v>
      </c>
      <c r="F116" s="8">
        <v>1008.35</v>
      </c>
      <c r="G116" s="8">
        <v>1260.44</v>
      </c>
      <c r="H116" s="56">
        <v>42916</v>
      </c>
      <c r="I116" s="101">
        <v>1260.4375</v>
      </c>
      <c r="J116" s="97"/>
      <c r="L116" s="100"/>
    </row>
    <row r="117" spans="1:12" ht="36.75" x14ac:dyDescent="0.25">
      <c r="A117" s="1">
        <v>34</v>
      </c>
      <c r="B117" s="58" t="s">
        <v>188</v>
      </c>
      <c r="C117" s="7" t="s">
        <v>313</v>
      </c>
      <c r="D117" s="56">
        <v>42828</v>
      </c>
      <c r="E117" s="56">
        <v>42902</v>
      </c>
      <c r="F117" s="8">
        <v>922.7</v>
      </c>
      <c r="G117" s="8">
        <v>1153.3800000000001</v>
      </c>
      <c r="H117" s="56">
        <v>42916</v>
      </c>
      <c r="I117" s="101">
        <v>1153.375</v>
      </c>
      <c r="J117" s="97"/>
      <c r="L117" s="100"/>
    </row>
    <row r="118" spans="1:12" ht="36" x14ac:dyDescent="0.25">
      <c r="A118" s="1">
        <v>35</v>
      </c>
      <c r="B118" s="58" t="s">
        <v>191</v>
      </c>
      <c r="C118" s="7" t="s">
        <v>314</v>
      </c>
      <c r="D118" s="56">
        <v>42826</v>
      </c>
      <c r="E118" s="56">
        <v>42916</v>
      </c>
      <c r="F118" s="8">
        <v>8672.4</v>
      </c>
      <c r="G118" s="8">
        <v>10840.5</v>
      </c>
      <c r="H118" s="56">
        <v>42916</v>
      </c>
      <c r="I118" s="101">
        <v>10840.5</v>
      </c>
      <c r="J118" s="97"/>
      <c r="L118" s="100"/>
    </row>
    <row r="119" spans="1:12" ht="24.75" x14ac:dyDescent="0.25">
      <c r="A119" s="1">
        <v>36</v>
      </c>
      <c r="B119" s="58" t="s">
        <v>190</v>
      </c>
      <c r="C119" s="7" t="s">
        <v>315</v>
      </c>
      <c r="D119" s="56">
        <v>42818</v>
      </c>
      <c r="E119" s="56">
        <v>42832</v>
      </c>
      <c r="F119" s="8">
        <v>3093.9</v>
      </c>
      <c r="G119" s="8">
        <v>3867.38</v>
      </c>
      <c r="H119" s="56">
        <v>42825</v>
      </c>
      <c r="I119" s="101">
        <v>3867.375</v>
      </c>
      <c r="J119" s="97"/>
      <c r="L119" s="100"/>
    </row>
    <row r="120" spans="1:12" ht="36.75" x14ac:dyDescent="0.25">
      <c r="A120" s="1">
        <v>37</v>
      </c>
      <c r="B120" s="58" t="s">
        <v>188</v>
      </c>
      <c r="C120" s="7" t="s">
        <v>316</v>
      </c>
      <c r="D120" s="56">
        <v>42816</v>
      </c>
      <c r="E120" s="56">
        <v>42816</v>
      </c>
      <c r="F120" s="8">
        <v>977.3</v>
      </c>
      <c r="G120" s="8">
        <v>1221.6300000000001</v>
      </c>
      <c r="H120" s="56">
        <v>42825</v>
      </c>
      <c r="I120" s="101">
        <v>1221.625</v>
      </c>
      <c r="J120" s="97"/>
      <c r="L120" s="100"/>
    </row>
    <row r="121" spans="1:12" ht="36.75" x14ac:dyDescent="0.25">
      <c r="A121" s="1">
        <v>38</v>
      </c>
      <c r="B121" s="58" t="s">
        <v>97</v>
      </c>
      <c r="C121" s="7" t="s">
        <v>317</v>
      </c>
      <c r="D121" s="56">
        <v>42814</v>
      </c>
      <c r="E121" s="56">
        <v>42821</v>
      </c>
      <c r="F121" s="8">
        <v>360</v>
      </c>
      <c r="G121" s="8">
        <v>450</v>
      </c>
      <c r="H121" s="56">
        <v>42821</v>
      </c>
      <c r="I121" s="101">
        <v>450</v>
      </c>
      <c r="J121" s="97"/>
      <c r="L121" s="100"/>
    </row>
    <row r="122" spans="1:12" ht="24" x14ac:dyDescent="0.25">
      <c r="A122" s="1">
        <v>39</v>
      </c>
      <c r="B122" s="58" t="s">
        <v>18</v>
      </c>
      <c r="C122" s="7" t="s">
        <v>318</v>
      </c>
      <c r="D122" s="56">
        <v>42802</v>
      </c>
      <c r="E122" s="56">
        <v>42825</v>
      </c>
      <c r="F122" s="8">
        <v>244070.34</v>
      </c>
      <c r="G122" s="8">
        <v>305087.93</v>
      </c>
      <c r="H122" s="56">
        <v>42916</v>
      </c>
      <c r="I122" s="101">
        <v>302855.58750000002</v>
      </c>
      <c r="J122" s="97"/>
      <c r="L122" s="100"/>
    </row>
    <row r="123" spans="1:12" ht="24.75" x14ac:dyDescent="0.25">
      <c r="A123" s="1">
        <v>40</v>
      </c>
      <c r="B123" s="58" t="s">
        <v>200</v>
      </c>
      <c r="C123" s="7" t="s">
        <v>319</v>
      </c>
      <c r="D123" s="56">
        <v>42801</v>
      </c>
      <c r="E123" s="56">
        <v>43100</v>
      </c>
      <c r="F123" s="8">
        <v>45770.5</v>
      </c>
      <c r="G123" s="8">
        <v>57213.13</v>
      </c>
      <c r="H123" s="56">
        <v>42916</v>
      </c>
      <c r="I123" s="101">
        <v>0</v>
      </c>
      <c r="J123" s="97"/>
      <c r="L123" s="100"/>
    </row>
    <row r="124" spans="1:12" ht="24.75" x14ac:dyDescent="0.25">
      <c r="A124" s="1">
        <v>41</v>
      </c>
      <c r="B124" s="58" t="s">
        <v>197</v>
      </c>
      <c r="C124" s="7" t="s">
        <v>320</v>
      </c>
      <c r="D124" s="56">
        <v>42801</v>
      </c>
      <c r="E124" s="56">
        <v>42916</v>
      </c>
      <c r="F124" s="8">
        <v>11082.6</v>
      </c>
      <c r="G124" s="8">
        <v>13853.25</v>
      </c>
      <c r="H124" s="56">
        <v>42916</v>
      </c>
      <c r="I124" s="101">
        <v>13813.262500000001</v>
      </c>
      <c r="J124" s="97"/>
      <c r="L124" s="100"/>
    </row>
    <row r="125" spans="1:12" ht="24.75" x14ac:dyDescent="0.25">
      <c r="A125" s="1">
        <v>42</v>
      </c>
      <c r="B125" s="58" t="s">
        <v>199</v>
      </c>
      <c r="C125" s="7" t="s">
        <v>321</v>
      </c>
      <c r="D125" s="56">
        <v>42793</v>
      </c>
      <c r="E125" s="56">
        <v>43100</v>
      </c>
      <c r="F125" s="8">
        <v>80662.929999999993</v>
      </c>
      <c r="G125" s="8">
        <v>100828.66</v>
      </c>
      <c r="H125" s="56">
        <v>43100</v>
      </c>
      <c r="I125" s="101">
        <v>131799.6875</v>
      </c>
      <c r="J125" s="97"/>
      <c r="L125" s="100"/>
    </row>
    <row r="126" spans="1:12" ht="24.75" x14ac:dyDescent="0.25">
      <c r="A126" s="1">
        <v>43</v>
      </c>
      <c r="B126" s="58" t="s">
        <v>193</v>
      </c>
      <c r="C126" s="7" t="s">
        <v>322</v>
      </c>
      <c r="D126" s="56">
        <v>42790</v>
      </c>
      <c r="E126" s="56">
        <v>42800</v>
      </c>
      <c r="F126" s="8">
        <v>125</v>
      </c>
      <c r="G126" s="8">
        <v>156.25</v>
      </c>
      <c r="H126" s="56">
        <v>42825</v>
      </c>
      <c r="I126" s="101">
        <v>156.25</v>
      </c>
      <c r="J126" s="97"/>
      <c r="L126" s="100"/>
    </row>
    <row r="127" spans="1:12" ht="24.75" x14ac:dyDescent="0.25">
      <c r="A127" s="1">
        <v>44</v>
      </c>
      <c r="B127" s="58" t="s">
        <v>190</v>
      </c>
      <c r="C127" s="7" t="s">
        <v>323</v>
      </c>
      <c r="D127" s="56">
        <v>42788</v>
      </c>
      <c r="E127" s="56">
        <v>42803</v>
      </c>
      <c r="F127" s="8">
        <v>556.5</v>
      </c>
      <c r="G127" s="8">
        <v>695.63</v>
      </c>
      <c r="H127" s="56">
        <v>42825</v>
      </c>
      <c r="I127" s="101">
        <v>695.625</v>
      </c>
      <c r="J127" s="97"/>
      <c r="L127" s="100"/>
    </row>
    <row r="128" spans="1:12" ht="36.75" x14ac:dyDescent="0.25">
      <c r="A128" s="1">
        <v>45</v>
      </c>
      <c r="B128" s="58" t="s">
        <v>97</v>
      </c>
      <c r="C128" s="7" t="s">
        <v>324</v>
      </c>
      <c r="D128" s="56">
        <v>42783</v>
      </c>
      <c r="E128" s="56">
        <v>42762</v>
      </c>
      <c r="F128" s="8">
        <v>678.5</v>
      </c>
      <c r="G128" s="8">
        <v>848.13</v>
      </c>
      <c r="H128" s="56">
        <v>42793</v>
      </c>
      <c r="I128" s="101">
        <v>848.125</v>
      </c>
      <c r="J128" s="97"/>
      <c r="L128" s="100"/>
    </row>
    <row r="129" spans="1:12" ht="24.75" x14ac:dyDescent="0.25">
      <c r="A129" s="1">
        <v>46</v>
      </c>
      <c r="B129" s="58" t="s">
        <v>197</v>
      </c>
      <c r="C129" s="7" t="s">
        <v>325</v>
      </c>
      <c r="D129" s="56">
        <v>42761</v>
      </c>
      <c r="E129" s="56">
        <v>42855</v>
      </c>
      <c r="F129" s="8">
        <v>818</v>
      </c>
      <c r="G129" s="8">
        <v>1022.5</v>
      </c>
      <c r="H129" s="56">
        <v>42881</v>
      </c>
      <c r="I129" s="101">
        <v>1022.5</v>
      </c>
      <c r="J129" s="97"/>
      <c r="L129" s="100"/>
    </row>
    <row r="130" spans="1:12" ht="24.75" x14ac:dyDescent="0.25">
      <c r="A130" s="1">
        <v>47</v>
      </c>
      <c r="B130" s="58" t="s">
        <v>190</v>
      </c>
      <c r="C130" s="7" t="s">
        <v>326</v>
      </c>
      <c r="D130" s="56">
        <v>42758</v>
      </c>
      <c r="E130" s="56">
        <v>42772</v>
      </c>
      <c r="F130" s="8">
        <v>450</v>
      </c>
      <c r="G130" s="8">
        <v>562.5</v>
      </c>
      <c r="H130" s="56">
        <v>42825</v>
      </c>
      <c r="I130" s="101">
        <v>562.5</v>
      </c>
      <c r="J130" s="97"/>
      <c r="L130" s="100"/>
    </row>
    <row r="131" spans="1:12" ht="24.75" x14ac:dyDescent="0.25">
      <c r="A131" s="1">
        <v>48</v>
      </c>
      <c r="B131" s="58" t="s">
        <v>190</v>
      </c>
      <c r="C131" s="7" t="s">
        <v>327</v>
      </c>
      <c r="D131" s="56">
        <v>42751</v>
      </c>
      <c r="E131" s="56">
        <v>42765</v>
      </c>
      <c r="F131" s="8">
        <v>1800</v>
      </c>
      <c r="G131" s="8">
        <v>2250</v>
      </c>
      <c r="H131" s="56">
        <v>42825</v>
      </c>
      <c r="I131" s="101">
        <v>2250</v>
      </c>
      <c r="J131" s="97"/>
      <c r="L131" s="100"/>
    </row>
    <row r="132" spans="1:12" ht="24" x14ac:dyDescent="0.25">
      <c r="A132" s="1">
        <v>49</v>
      </c>
      <c r="B132" s="58" t="s">
        <v>191</v>
      </c>
      <c r="C132" s="7" t="s">
        <v>328</v>
      </c>
      <c r="D132" s="56">
        <v>42748</v>
      </c>
      <c r="E132" s="56">
        <v>42825</v>
      </c>
      <c r="F132" s="8">
        <v>7452</v>
      </c>
      <c r="G132" s="8">
        <v>9315</v>
      </c>
      <c r="H132" s="56">
        <v>42825</v>
      </c>
      <c r="I132" s="101">
        <v>9315</v>
      </c>
      <c r="J132" s="97"/>
      <c r="L132" s="100"/>
    </row>
    <row r="133" spans="1:12" ht="36.75" x14ac:dyDescent="0.25">
      <c r="A133" s="1">
        <v>50</v>
      </c>
      <c r="B133" s="58" t="s">
        <v>97</v>
      </c>
      <c r="C133" s="7" t="s">
        <v>329</v>
      </c>
      <c r="D133" s="56">
        <v>42748</v>
      </c>
      <c r="E133" s="56">
        <v>43100</v>
      </c>
      <c r="F133" s="8">
        <v>69675.850000000006</v>
      </c>
      <c r="G133" s="8">
        <v>87094.81</v>
      </c>
      <c r="H133" s="56">
        <v>43013</v>
      </c>
      <c r="I133" s="101">
        <v>41188.574999999997</v>
      </c>
      <c r="J133" s="97"/>
      <c r="L133" s="100"/>
    </row>
    <row r="134" spans="1:12" ht="36.75" x14ac:dyDescent="0.25">
      <c r="A134" s="1">
        <v>51</v>
      </c>
      <c r="B134" s="58" t="s">
        <v>97</v>
      </c>
      <c r="C134" s="7" t="s">
        <v>330</v>
      </c>
      <c r="D134" s="56">
        <v>42747</v>
      </c>
      <c r="E134" s="56">
        <v>42753</v>
      </c>
      <c r="F134" s="8">
        <v>1440</v>
      </c>
      <c r="G134" s="8">
        <v>1800</v>
      </c>
      <c r="H134" s="56">
        <v>42753</v>
      </c>
      <c r="I134" s="101">
        <v>1800</v>
      </c>
      <c r="J134" s="97"/>
      <c r="L134" s="100"/>
    </row>
    <row r="135" spans="1:12" s="27" customFormat="1" ht="24" x14ac:dyDescent="0.25">
      <c r="A135" s="1">
        <v>52</v>
      </c>
      <c r="B135" s="58" t="s">
        <v>204</v>
      </c>
      <c r="C135" s="7" t="s">
        <v>331</v>
      </c>
      <c r="D135" s="56">
        <v>42746</v>
      </c>
      <c r="E135" s="56">
        <v>43100</v>
      </c>
      <c r="F135" s="8">
        <v>65146.35</v>
      </c>
      <c r="G135" s="8">
        <v>81432.94</v>
      </c>
      <c r="H135" s="56">
        <v>43100</v>
      </c>
      <c r="I135" s="101">
        <v>45679.4375</v>
      </c>
      <c r="J135" s="97"/>
      <c r="K135"/>
      <c r="L135" s="100"/>
    </row>
    <row r="136" spans="1:12" ht="24.75" x14ac:dyDescent="0.25">
      <c r="A136" s="1">
        <v>53</v>
      </c>
      <c r="B136" s="58" t="s">
        <v>190</v>
      </c>
      <c r="C136" s="7" t="s">
        <v>332</v>
      </c>
      <c r="D136" s="56">
        <v>42738</v>
      </c>
      <c r="E136" s="56">
        <v>42752</v>
      </c>
      <c r="F136" s="8">
        <v>5833.8</v>
      </c>
      <c r="G136" s="8">
        <v>7292.25</v>
      </c>
      <c r="H136" s="56">
        <v>42825</v>
      </c>
      <c r="I136" s="101">
        <v>7292.25</v>
      </c>
      <c r="J136" s="97"/>
      <c r="L136" s="100"/>
    </row>
    <row r="137" spans="1:12" ht="36.75" x14ac:dyDescent="0.25">
      <c r="A137" s="1">
        <v>54</v>
      </c>
      <c r="B137" s="58" t="s">
        <v>208</v>
      </c>
      <c r="C137" s="7" t="s">
        <v>333</v>
      </c>
      <c r="D137" s="56">
        <v>42736</v>
      </c>
      <c r="E137" s="56">
        <v>43008</v>
      </c>
      <c r="F137" s="8">
        <v>24653.08</v>
      </c>
      <c r="G137" s="8">
        <v>30816.35</v>
      </c>
      <c r="H137" s="56">
        <v>43008</v>
      </c>
      <c r="I137" s="101">
        <v>30816.350000000002</v>
      </c>
      <c r="J137" s="97"/>
      <c r="L137" s="100"/>
    </row>
    <row r="138" spans="1:12" ht="24" x14ac:dyDescent="0.25">
      <c r="A138" s="1">
        <v>55</v>
      </c>
      <c r="B138" s="58" t="s">
        <v>207</v>
      </c>
      <c r="C138" s="7" t="s">
        <v>334</v>
      </c>
      <c r="D138" s="56">
        <v>42736</v>
      </c>
      <c r="E138" s="56">
        <v>43008</v>
      </c>
      <c r="F138" s="8">
        <v>11781.54</v>
      </c>
      <c r="G138" s="8">
        <v>14726.93</v>
      </c>
      <c r="H138" s="56">
        <v>43008</v>
      </c>
      <c r="I138" s="101">
        <v>14726.887500000001</v>
      </c>
      <c r="J138" s="37"/>
      <c r="L138" s="100"/>
    </row>
    <row r="139" spans="1:12" ht="24.75" x14ac:dyDescent="0.25">
      <c r="A139" s="1">
        <v>56</v>
      </c>
      <c r="B139" s="58" t="s">
        <v>205</v>
      </c>
      <c r="C139" s="7" t="s">
        <v>335</v>
      </c>
      <c r="D139" s="56">
        <v>42736</v>
      </c>
      <c r="E139" s="56">
        <v>43100</v>
      </c>
      <c r="F139" s="8">
        <v>67080.5</v>
      </c>
      <c r="G139" s="8">
        <v>83850.63</v>
      </c>
      <c r="H139" s="56">
        <v>43100</v>
      </c>
      <c r="I139" s="101">
        <v>61116.5</v>
      </c>
      <c r="J139" s="97"/>
      <c r="L139" s="100"/>
    </row>
    <row r="140" spans="1:12" ht="36" x14ac:dyDescent="0.25">
      <c r="A140" s="1">
        <v>57</v>
      </c>
      <c r="B140" s="58" t="s">
        <v>206</v>
      </c>
      <c r="C140" s="7" t="s">
        <v>336</v>
      </c>
      <c r="D140" s="56">
        <v>42736</v>
      </c>
      <c r="E140" s="56">
        <v>43100</v>
      </c>
      <c r="F140" s="8">
        <v>8000</v>
      </c>
      <c r="G140" s="8">
        <v>10000</v>
      </c>
      <c r="H140" s="56">
        <v>43100</v>
      </c>
      <c r="I140" s="101">
        <v>8473.9874999999993</v>
      </c>
      <c r="J140" s="97"/>
      <c r="L140" s="100"/>
    </row>
    <row r="141" spans="1:12" ht="36.75" x14ac:dyDescent="0.25">
      <c r="A141" s="1">
        <v>58</v>
      </c>
      <c r="B141" s="58" t="s">
        <v>192</v>
      </c>
      <c r="C141" s="7" t="s">
        <v>337</v>
      </c>
      <c r="D141" s="56">
        <v>42794</v>
      </c>
      <c r="E141" s="56">
        <v>42766</v>
      </c>
      <c r="F141" s="8">
        <v>4618.3999999999996</v>
      </c>
      <c r="G141" s="8">
        <v>5773</v>
      </c>
      <c r="H141" s="56">
        <v>42825</v>
      </c>
      <c r="I141" s="101">
        <v>5773</v>
      </c>
      <c r="J141" s="97"/>
      <c r="L141" s="100"/>
    </row>
    <row r="142" spans="1:12" ht="36.75" x14ac:dyDescent="0.25">
      <c r="A142" s="1">
        <v>59</v>
      </c>
      <c r="B142" s="58" t="s">
        <v>192</v>
      </c>
      <c r="C142" s="7" t="s">
        <v>338</v>
      </c>
      <c r="D142" s="56">
        <v>42740</v>
      </c>
      <c r="E142" s="56">
        <v>42825</v>
      </c>
      <c r="F142" s="8">
        <v>2507.88</v>
      </c>
      <c r="G142" s="8">
        <v>3134.85</v>
      </c>
      <c r="H142" s="56">
        <v>42825</v>
      </c>
      <c r="I142" s="101">
        <v>3134.8500000000004</v>
      </c>
      <c r="J142" s="97"/>
      <c r="L142" s="100"/>
    </row>
    <row r="143" spans="1:12" ht="36.75" x14ac:dyDescent="0.25">
      <c r="A143" s="1">
        <v>60</v>
      </c>
      <c r="B143" s="58" t="s">
        <v>192</v>
      </c>
      <c r="C143" s="7" t="s">
        <v>339</v>
      </c>
      <c r="D143" s="56">
        <v>42845</v>
      </c>
      <c r="E143" s="56">
        <v>42825</v>
      </c>
      <c r="F143" s="8">
        <v>9758</v>
      </c>
      <c r="G143" s="8">
        <v>12197.5</v>
      </c>
      <c r="H143" s="162"/>
      <c r="I143" s="163">
        <v>0</v>
      </c>
      <c r="J143" s="97"/>
      <c r="L143" s="100"/>
    </row>
    <row r="144" spans="1:12" ht="24.75" x14ac:dyDescent="0.25">
      <c r="A144" s="1">
        <v>61</v>
      </c>
      <c r="B144" s="58" t="s">
        <v>202</v>
      </c>
      <c r="C144" s="7" t="s">
        <v>340</v>
      </c>
      <c r="D144" s="56">
        <v>42733</v>
      </c>
      <c r="E144" s="56">
        <v>43100</v>
      </c>
      <c r="F144" s="8">
        <v>16628.2</v>
      </c>
      <c r="G144" s="8">
        <v>20785.25</v>
      </c>
      <c r="H144" s="56">
        <v>43100</v>
      </c>
      <c r="I144" s="101">
        <v>17832.712500000001</v>
      </c>
      <c r="J144" s="97"/>
      <c r="L144" s="100"/>
    </row>
    <row r="145" spans="1:12" x14ac:dyDescent="0.25">
      <c r="A145" s="1">
        <v>62</v>
      </c>
      <c r="B145" s="58" t="s">
        <v>16</v>
      </c>
      <c r="C145" s="7" t="s">
        <v>341</v>
      </c>
      <c r="D145" s="56">
        <v>42761</v>
      </c>
      <c r="E145" s="56">
        <v>43223</v>
      </c>
      <c r="F145" s="8">
        <v>46400.1</v>
      </c>
      <c r="G145" s="8">
        <v>58000.13</v>
      </c>
      <c r="H145" s="56">
        <v>43100</v>
      </c>
      <c r="I145" s="101">
        <v>21892.05</v>
      </c>
      <c r="J145" s="97"/>
      <c r="L145" s="100"/>
    </row>
    <row r="146" spans="1:12" ht="24.75" x14ac:dyDescent="0.25">
      <c r="A146" s="1">
        <v>63</v>
      </c>
      <c r="B146" s="58" t="s">
        <v>194</v>
      </c>
      <c r="C146" s="7" t="s">
        <v>342</v>
      </c>
      <c r="D146" s="56">
        <v>42642</v>
      </c>
      <c r="E146" s="56">
        <v>42858</v>
      </c>
      <c r="F146" s="8">
        <v>69974.95</v>
      </c>
      <c r="G146" s="8">
        <v>87468.69</v>
      </c>
      <c r="H146" s="56">
        <v>42858</v>
      </c>
      <c r="I146" s="101">
        <v>33127.15</v>
      </c>
      <c r="J146" s="97"/>
      <c r="L146" s="100"/>
    </row>
    <row r="147" spans="1:12" ht="36.75" x14ac:dyDescent="0.25">
      <c r="A147" s="1">
        <v>64</v>
      </c>
      <c r="B147" s="58" t="s">
        <v>189</v>
      </c>
      <c r="C147" s="7" t="s">
        <v>343</v>
      </c>
      <c r="D147" s="56">
        <v>42542</v>
      </c>
      <c r="E147" s="56">
        <v>42907</v>
      </c>
      <c r="F147" s="8">
        <v>44355.05</v>
      </c>
      <c r="G147" s="8">
        <v>55443.81</v>
      </c>
      <c r="H147" s="56">
        <v>42916</v>
      </c>
      <c r="I147" s="101">
        <v>28093.5625</v>
      </c>
      <c r="J147" s="97"/>
      <c r="L147" s="100"/>
    </row>
    <row r="148" spans="1:12" ht="24.75" x14ac:dyDescent="0.25">
      <c r="A148" s="1">
        <v>65</v>
      </c>
      <c r="B148" s="58" t="s">
        <v>193</v>
      </c>
      <c r="C148" s="7" t="s">
        <v>344</v>
      </c>
      <c r="D148" s="56">
        <v>42534</v>
      </c>
      <c r="E148" s="56">
        <v>43223</v>
      </c>
      <c r="F148" s="8">
        <v>180000</v>
      </c>
      <c r="G148" s="8">
        <v>225000</v>
      </c>
      <c r="H148" s="56">
        <v>43100</v>
      </c>
      <c r="I148" s="101">
        <v>172498.3125</v>
      </c>
      <c r="J148" s="97"/>
      <c r="L148" s="100"/>
    </row>
    <row r="149" spans="1:12" x14ac:dyDescent="0.25">
      <c r="A149" s="1">
        <v>66</v>
      </c>
      <c r="B149" s="58" t="s">
        <v>17</v>
      </c>
      <c r="C149" s="7" t="s">
        <v>345</v>
      </c>
      <c r="D149" s="56">
        <v>42534</v>
      </c>
      <c r="E149" s="56">
        <v>42899</v>
      </c>
      <c r="F149" s="8">
        <v>184143.27</v>
      </c>
      <c r="G149" s="8">
        <v>230179.09</v>
      </c>
      <c r="H149" s="56">
        <v>42899</v>
      </c>
      <c r="I149" s="101">
        <v>200230.38750000001</v>
      </c>
      <c r="J149" s="97"/>
      <c r="L149" s="100"/>
    </row>
    <row r="150" spans="1:12" x14ac:dyDescent="0.25">
      <c r="A150" s="1">
        <v>67</v>
      </c>
      <c r="B150" s="58" t="s">
        <v>198</v>
      </c>
      <c r="C150" s="7" t="s">
        <v>346</v>
      </c>
      <c r="D150" s="56">
        <v>42531</v>
      </c>
      <c r="E150" s="56">
        <v>42896</v>
      </c>
      <c r="F150" s="8">
        <v>236877.79</v>
      </c>
      <c r="G150" s="8">
        <v>296097.24</v>
      </c>
      <c r="H150" s="56">
        <v>42896</v>
      </c>
      <c r="I150" s="101">
        <v>183912.53750000001</v>
      </c>
      <c r="J150" s="97"/>
      <c r="L150" s="100"/>
    </row>
    <row r="151" spans="1:12" ht="24.75" x14ac:dyDescent="0.25">
      <c r="A151" s="1">
        <v>68</v>
      </c>
      <c r="B151" s="58" t="s">
        <v>201</v>
      </c>
      <c r="C151" s="7" t="s">
        <v>347</v>
      </c>
      <c r="D151" s="56">
        <v>42493</v>
      </c>
      <c r="E151" s="56">
        <v>42857</v>
      </c>
      <c r="F151" s="8">
        <v>45737.8</v>
      </c>
      <c r="G151" s="8">
        <v>57172.25</v>
      </c>
      <c r="H151" s="56">
        <v>42857</v>
      </c>
      <c r="I151" s="101">
        <v>22710.612500000003</v>
      </c>
      <c r="J151" s="97"/>
      <c r="L151" s="100"/>
    </row>
    <row r="152" spans="1:12" ht="24.75" x14ac:dyDescent="0.25">
      <c r="A152" s="1">
        <v>69</v>
      </c>
      <c r="B152" s="58" t="s">
        <v>195</v>
      </c>
      <c r="C152" s="7" t="s">
        <v>348</v>
      </c>
      <c r="D152" s="56">
        <v>42530</v>
      </c>
      <c r="E152" s="56">
        <v>42895</v>
      </c>
      <c r="F152" s="8">
        <v>2001804.75</v>
      </c>
      <c r="G152" s="8">
        <v>2502255.94</v>
      </c>
      <c r="H152" s="56">
        <v>42916</v>
      </c>
      <c r="I152" s="101">
        <v>2192185.8374999999</v>
      </c>
      <c r="J152" s="97"/>
      <c r="L152" s="100"/>
    </row>
    <row r="153" spans="1:12" ht="24.75" x14ac:dyDescent="0.25">
      <c r="A153" s="1">
        <v>70</v>
      </c>
      <c r="B153" s="58" t="s">
        <v>187</v>
      </c>
      <c r="C153" s="7" t="s">
        <v>349</v>
      </c>
      <c r="D153" s="56">
        <v>42528</v>
      </c>
      <c r="E153" s="56">
        <v>42893</v>
      </c>
      <c r="F153" s="8">
        <v>60148.98</v>
      </c>
      <c r="G153" s="8">
        <v>75186.23</v>
      </c>
      <c r="H153" s="56">
        <v>42916</v>
      </c>
      <c r="I153" s="101">
        <v>49368.549999999996</v>
      </c>
      <c r="J153" s="97"/>
      <c r="L153" s="100"/>
    </row>
    <row r="154" spans="1:12" ht="24.75" x14ac:dyDescent="0.25">
      <c r="A154" s="1">
        <v>71</v>
      </c>
      <c r="B154" s="58" t="s">
        <v>203</v>
      </c>
      <c r="C154" s="7" t="s">
        <v>350</v>
      </c>
      <c r="D154" s="56">
        <v>42527</v>
      </c>
      <c r="E154" s="56">
        <v>42892</v>
      </c>
      <c r="F154" s="8">
        <v>102423.6</v>
      </c>
      <c r="G154" s="8">
        <v>128029.5</v>
      </c>
      <c r="H154" s="56">
        <v>42892</v>
      </c>
      <c r="I154" s="101">
        <v>35614.949999999997</v>
      </c>
      <c r="J154" s="97"/>
      <c r="L154" s="100"/>
    </row>
    <row r="155" spans="1:12" x14ac:dyDescent="0.25">
      <c r="A155" s="1">
        <v>72</v>
      </c>
      <c r="B155" s="58" t="s">
        <v>278</v>
      </c>
      <c r="C155" s="7" t="s">
        <v>351</v>
      </c>
      <c r="D155" s="56">
        <v>42524</v>
      </c>
      <c r="E155" s="56">
        <v>43223</v>
      </c>
      <c r="F155" s="8">
        <v>1299623.8</v>
      </c>
      <c r="G155" s="8">
        <v>1624529.75</v>
      </c>
      <c r="H155" s="56">
        <v>43100</v>
      </c>
      <c r="I155" s="101">
        <v>795858.38749999995</v>
      </c>
      <c r="J155" s="97"/>
      <c r="L155" s="100"/>
    </row>
    <row r="156" spans="1:12" ht="24.75" x14ac:dyDescent="0.25">
      <c r="A156" s="1">
        <v>73</v>
      </c>
      <c r="B156" s="58" t="s">
        <v>209</v>
      </c>
      <c r="C156" s="7" t="s">
        <v>352</v>
      </c>
      <c r="D156" s="56">
        <v>42566</v>
      </c>
      <c r="E156" s="56">
        <v>43223</v>
      </c>
      <c r="F156" s="8">
        <v>196249.1</v>
      </c>
      <c r="G156" s="8">
        <v>245311.38</v>
      </c>
      <c r="H156" s="56">
        <v>43100</v>
      </c>
      <c r="I156" s="101">
        <v>66833.524999999994</v>
      </c>
      <c r="J156" s="97"/>
      <c r="L156" s="100"/>
    </row>
    <row r="157" spans="1:12" ht="24" x14ac:dyDescent="0.25">
      <c r="A157" s="1">
        <v>74</v>
      </c>
      <c r="B157" s="58" t="s">
        <v>210</v>
      </c>
      <c r="C157" s="7" t="s">
        <v>353</v>
      </c>
      <c r="D157" s="56">
        <v>42530</v>
      </c>
      <c r="E157" s="56">
        <v>42895</v>
      </c>
      <c r="F157" s="8">
        <v>1128385.1499999999</v>
      </c>
      <c r="G157" s="8">
        <v>1410481.44</v>
      </c>
      <c r="H157" s="56">
        <v>42825</v>
      </c>
      <c r="I157" s="101">
        <v>1083499.8374999999</v>
      </c>
      <c r="J157" s="97"/>
      <c r="L157" s="100"/>
    </row>
    <row r="158" spans="1:12" ht="24" x14ac:dyDescent="0.25">
      <c r="A158" s="1">
        <v>75</v>
      </c>
      <c r="B158" s="58" t="s">
        <v>185</v>
      </c>
      <c r="C158" s="7" t="s">
        <v>354</v>
      </c>
      <c r="D158" s="56">
        <v>42515</v>
      </c>
      <c r="E158" s="56">
        <v>43223</v>
      </c>
      <c r="F158" s="8">
        <v>172796.7</v>
      </c>
      <c r="G158" s="8">
        <v>215995.88</v>
      </c>
      <c r="H158" s="56">
        <v>43100</v>
      </c>
      <c r="I158" s="101">
        <v>116683.21250000001</v>
      </c>
      <c r="J158" s="97"/>
      <c r="L158" s="100"/>
    </row>
    <row r="159" spans="1:12" ht="24" x14ac:dyDescent="0.25">
      <c r="A159" s="1">
        <v>76</v>
      </c>
      <c r="B159" s="58" t="s">
        <v>186</v>
      </c>
      <c r="C159" s="7" t="s">
        <v>355</v>
      </c>
      <c r="D159" s="56">
        <v>42510</v>
      </c>
      <c r="E159" s="56">
        <v>42874</v>
      </c>
      <c r="F159" s="8">
        <v>112507.4</v>
      </c>
      <c r="G159" s="8">
        <v>140634.25</v>
      </c>
      <c r="H159" s="56">
        <v>42916</v>
      </c>
      <c r="I159" s="101">
        <v>53500</v>
      </c>
      <c r="J159" s="97"/>
      <c r="L159" s="100"/>
    </row>
    <row r="160" spans="1:12" ht="24.75" x14ac:dyDescent="0.25">
      <c r="A160" s="1">
        <v>77</v>
      </c>
      <c r="B160" s="58" t="s">
        <v>196</v>
      </c>
      <c r="C160" s="7" t="s">
        <v>356</v>
      </c>
      <c r="D160" s="56">
        <v>42510</v>
      </c>
      <c r="E160" s="56">
        <v>42875</v>
      </c>
      <c r="F160" s="8">
        <v>101498.8</v>
      </c>
      <c r="G160" s="8">
        <v>126873.5</v>
      </c>
      <c r="H160" s="56">
        <v>42875</v>
      </c>
      <c r="I160" s="101">
        <v>63905.100000000006</v>
      </c>
      <c r="J160" s="97"/>
      <c r="L160" s="100"/>
    </row>
    <row r="161" spans="1:14" x14ac:dyDescent="0.25">
      <c r="A161" s="1">
        <v>78</v>
      </c>
      <c r="B161" s="58" t="s">
        <v>212</v>
      </c>
      <c r="C161" s="7" t="s">
        <v>357</v>
      </c>
      <c r="D161" s="56">
        <v>42655</v>
      </c>
      <c r="E161" s="56">
        <v>43223</v>
      </c>
      <c r="F161" s="8">
        <v>10597.34</v>
      </c>
      <c r="G161" s="8">
        <v>13246.68</v>
      </c>
      <c r="H161" s="56">
        <v>43100</v>
      </c>
      <c r="I161" s="101">
        <v>69012.45</v>
      </c>
      <c r="J161" s="97"/>
      <c r="L161" s="100"/>
    </row>
    <row r="162" spans="1:14" ht="36.75" x14ac:dyDescent="0.25">
      <c r="A162" s="1">
        <v>79</v>
      </c>
      <c r="B162" s="58" t="s">
        <v>189</v>
      </c>
      <c r="C162" s="7" t="s">
        <v>358</v>
      </c>
      <c r="D162" s="56">
        <v>42535</v>
      </c>
      <c r="E162" s="56">
        <v>43284</v>
      </c>
      <c r="F162" s="8">
        <v>870</v>
      </c>
      <c r="G162" s="8">
        <v>1087.5</v>
      </c>
      <c r="H162" s="56">
        <v>43100</v>
      </c>
      <c r="I162" s="101">
        <v>1087.5</v>
      </c>
      <c r="J162" s="97"/>
      <c r="L162" s="100"/>
    </row>
    <row r="163" spans="1:14" ht="24.75" x14ac:dyDescent="0.25">
      <c r="A163" s="1">
        <v>80</v>
      </c>
      <c r="B163" s="58" t="s">
        <v>279</v>
      </c>
      <c r="C163" s="7" t="s">
        <v>359</v>
      </c>
      <c r="D163" s="56">
        <v>42493</v>
      </c>
      <c r="E163" s="56">
        <v>43223</v>
      </c>
      <c r="F163" s="8">
        <v>0</v>
      </c>
      <c r="G163" s="8">
        <v>0</v>
      </c>
      <c r="H163" s="56">
        <v>43100</v>
      </c>
      <c r="I163" s="101">
        <v>4166.1125000000002</v>
      </c>
      <c r="J163" s="97"/>
      <c r="L163" s="100"/>
    </row>
    <row r="164" spans="1:14" ht="7.5" customHeight="1" x14ac:dyDescent="0.25">
      <c r="K164" s="20"/>
    </row>
    <row r="165" spans="1:14" x14ac:dyDescent="0.25">
      <c r="A165" s="175" t="s">
        <v>41</v>
      </c>
      <c r="B165" s="175"/>
      <c r="C165" s="175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</row>
    <row r="166" spans="1:14" ht="36" x14ac:dyDescent="0.25">
      <c r="A166" s="53" t="s">
        <v>0</v>
      </c>
      <c r="B166" s="54" t="s">
        <v>1</v>
      </c>
      <c r="C166" s="54" t="s">
        <v>3</v>
      </c>
      <c r="D166" s="178" t="s">
        <v>171</v>
      </c>
      <c r="E166" s="178"/>
      <c r="F166" s="54" t="s">
        <v>166</v>
      </c>
      <c r="G166" s="54" t="s">
        <v>170</v>
      </c>
      <c r="H166" s="54" t="s">
        <v>167</v>
      </c>
      <c r="I166" s="54" t="s">
        <v>4</v>
      </c>
      <c r="J166" s="54" t="s">
        <v>5</v>
      </c>
      <c r="K166" s="54" t="s">
        <v>2</v>
      </c>
      <c r="L166" s="54" t="s">
        <v>172</v>
      </c>
      <c r="M166" s="54" t="s">
        <v>173</v>
      </c>
      <c r="N166" s="54" t="s">
        <v>169</v>
      </c>
    </row>
    <row r="167" spans="1:14" ht="49.5" customHeight="1" x14ac:dyDescent="0.25">
      <c r="A167" s="1">
        <v>1</v>
      </c>
      <c r="B167" s="4" t="s">
        <v>53</v>
      </c>
      <c r="C167" s="1" t="s">
        <v>74</v>
      </c>
      <c r="D167" s="179" t="s">
        <v>1016</v>
      </c>
      <c r="E167" s="180"/>
      <c r="F167" s="38" t="s">
        <v>99</v>
      </c>
      <c r="G167" s="38" t="s">
        <v>184</v>
      </c>
      <c r="H167" s="1" t="s">
        <v>15</v>
      </c>
      <c r="I167" s="15">
        <v>42703</v>
      </c>
      <c r="J167" s="1" t="s">
        <v>51</v>
      </c>
      <c r="K167" s="36">
        <v>12126341.23</v>
      </c>
      <c r="L167" s="36">
        <f>K167*0.25</f>
        <v>3031585.3075000001</v>
      </c>
      <c r="M167" s="36">
        <v>15157926.537500001</v>
      </c>
      <c r="N167" s="176"/>
    </row>
    <row r="168" spans="1:14" ht="15" customHeight="1" x14ac:dyDescent="0.25">
      <c r="A168" s="177" t="s">
        <v>1012</v>
      </c>
      <c r="B168" s="177"/>
      <c r="C168" s="177"/>
      <c r="D168" s="177"/>
      <c r="E168" s="177"/>
      <c r="F168" s="177"/>
      <c r="G168" s="177"/>
      <c r="H168" s="177"/>
      <c r="I168" s="177"/>
      <c r="J168" s="177"/>
      <c r="K168" s="177"/>
      <c r="L168" s="177"/>
      <c r="M168" s="96">
        <v>3407655.5</v>
      </c>
      <c r="N168" s="176"/>
    </row>
    <row r="169" spans="1:14" ht="7.5" customHeight="1" x14ac:dyDescent="0.25"/>
    <row r="170" spans="1:14" ht="15" customHeight="1" x14ac:dyDescent="0.25">
      <c r="A170" s="175" t="s">
        <v>12</v>
      </c>
      <c r="B170" s="175"/>
      <c r="C170" s="175"/>
      <c r="D170" s="175"/>
      <c r="E170" s="175"/>
      <c r="F170" s="175"/>
      <c r="G170" s="175"/>
      <c r="H170" s="175"/>
      <c r="I170" s="175"/>
      <c r="J170" s="175"/>
      <c r="K170" s="49"/>
      <c r="L170" s="49"/>
    </row>
    <row r="171" spans="1:14" ht="48" customHeight="1" x14ac:dyDescent="0.25">
      <c r="A171" s="2" t="s">
        <v>0</v>
      </c>
      <c r="B171" s="3" t="s">
        <v>7</v>
      </c>
      <c r="C171" s="3" t="s">
        <v>6</v>
      </c>
      <c r="D171" s="3" t="s">
        <v>8</v>
      </c>
      <c r="E171" s="3" t="s">
        <v>168</v>
      </c>
      <c r="F171" s="3" t="s">
        <v>174</v>
      </c>
      <c r="G171" s="3" t="s">
        <v>175</v>
      </c>
      <c r="H171" s="3" t="s">
        <v>9</v>
      </c>
      <c r="I171" s="3" t="s">
        <v>176</v>
      </c>
      <c r="J171" s="3" t="s">
        <v>10</v>
      </c>
      <c r="L171" s="48"/>
      <c r="M171" s="48"/>
    </row>
    <row r="172" spans="1:14" ht="36" x14ac:dyDescent="0.25">
      <c r="A172" s="1">
        <v>1</v>
      </c>
      <c r="B172" s="6" t="s">
        <v>189</v>
      </c>
      <c r="C172" s="7" t="s">
        <v>361</v>
      </c>
      <c r="D172" s="56">
        <v>43056</v>
      </c>
      <c r="E172" s="56">
        <v>43097</v>
      </c>
      <c r="F172" s="8">
        <v>10537.24</v>
      </c>
      <c r="G172" s="8">
        <v>13171.55</v>
      </c>
      <c r="H172" s="56">
        <v>43100</v>
      </c>
      <c r="I172" s="8">
        <v>9926.7999999999993</v>
      </c>
      <c r="J172" s="5"/>
      <c r="L172" s="100"/>
    </row>
    <row r="173" spans="1:14" ht="24" x14ac:dyDescent="0.25">
      <c r="A173" s="1">
        <v>2</v>
      </c>
      <c r="B173" s="6" t="s">
        <v>18</v>
      </c>
      <c r="C173" s="7" t="s">
        <v>362</v>
      </c>
      <c r="D173" s="56">
        <v>43033</v>
      </c>
      <c r="E173" s="56">
        <v>43100</v>
      </c>
      <c r="F173" s="8">
        <v>109380.95</v>
      </c>
      <c r="G173" s="8">
        <v>136726.19</v>
      </c>
      <c r="H173" s="56">
        <v>43100</v>
      </c>
      <c r="I173" s="8">
        <v>136726.1875</v>
      </c>
      <c r="J173" s="5"/>
      <c r="L173" s="100"/>
    </row>
    <row r="174" spans="1:14" ht="36" x14ac:dyDescent="0.25">
      <c r="A174" s="1">
        <v>3</v>
      </c>
      <c r="B174" s="6" t="s">
        <v>189</v>
      </c>
      <c r="C174" s="7" t="s">
        <v>363</v>
      </c>
      <c r="D174" s="56">
        <v>43019</v>
      </c>
      <c r="E174" s="56">
        <v>43050</v>
      </c>
      <c r="F174" s="8">
        <v>2724.03</v>
      </c>
      <c r="G174" s="8">
        <v>3405.04</v>
      </c>
      <c r="H174" s="56">
        <v>43100</v>
      </c>
      <c r="I174" s="8">
        <v>0</v>
      </c>
      <c r="J174" s="5"/>
      <c r="L174" s="100"/>
    </row>
    <row r="175" spans="1:14" ht="36" x14ac:dyDescent="0.25">
      <c r="A175" s="1">
        <v>4</v>
      </c>
      <c r="B175" s="6" t="s">
        <v>189</v>
      </c>
      <c r="C175" s="7" t="s">
        <v>364</v>
      </c>
      <c r="D175" s="56">
        <v>43013</v>
      </c>
      <c r="E175" s="56">
        <v>43044</v>
      </c>
      <c r="F175" s="8">
        <v>395.26</v>
      </c>
      <c r="G175" s="8">
        <v>494.08</v>
      </c>
      <c r="H175" s="56">
        <v>43100</v>
      </c>
      <c r="I175" s="8">
        <v>494.07499999999999</v>
      </c>
      <c r="J175" s="5"/>
      <c r="L175" s="100"/>
    </row>
    <row r="176" spans="1:14" ht="36" x14ac:dyDescent="0.25">
      <c r="A176" s="1">
        <v>5</v>
      </c>
      <c r="B176" s="6" t="s">
        <v>192</v>
      </c>
      <c r="C176" s="7" t="s">
        <v>365</v>
      </c>
      <c r="D176" s="56">
        <v>43100</v>
      </c>
      <c r="E176" s="56">
        <v>43100</v>
      </c>
      <c r="F176" s="8">
        <v>5639.36</v>
      </c>
      <c r="G176" s="8">
        <v>7049.2</v>
      </c>
      <c r="H176" s="56">
        <v>43100</v>
      </c>
      <c r="I176" s="8">
        <v>7049.2375000000002</v>
      </c>
      <c r="J176" s="5"/>
      <c r="L176" s="100"/>
    </row>
    <row r="177" spans="1:12" ht="36" x14ac:dyDescent="0.25">
      <c r="A177" s="1">
        <v>6</v>
      </c>
      <c r="B177" s="6" t="s">
        <v>189</v>
      </c>
      <c r="C177" s="7" t="s">
        <v>366</v>
      </c>
      <c r="D177" s="56">
        <v>42997</v>
      </c>
      <c r="E177" s="56">
        <v>43027</v>
      </c>
      <c r="F177" s="8">
        <v>2000.85</v>
      </c>
      <c r="G177" s="8">
        <v>2501.06</v>
      </c>
      <c r="H177" s="56">
        <v>43100</v>
      </c>
      <c r="I177" s="8">
        <v>2501.0625</v>
      </c>
      <c r="J177" s="5"/>
      <c r="L177" s="100"/>
    </row>
    <row r="178" spans="1:12" ht="24" x14ac:dyDescent="0.25">
      <c r="A178" s="1">
        <v>7</v>
      </c>
      <c r="B178" s="6" t="s">
        <v>18</v>
      </c>
      <c r="C178" s="7" t="s">
        <v>367</v>
      </c>
      <c r="D178" s="56">
        <v>42919</v>
      </c>
      <c r="E178" s="56">
        <v>43008</v>
      </c>
      <c r="F178" s="8">
        <v>114607.89</v>
      </c>
      <c r="G178" s="8">
        <v>143259.85999999999</v>
      </c>
      <c r="H178" s="56">
        <v>43008</v>
      </c>
      <c r="I178" s="8">
        <v>143259.86249999999</v>
      </c>
      <c r="J178" s="5"/>
      <c r="L178" s="100"/>
    </row>
    <row r="179" spans="1:12" ht="36" x14ac:dyDescent="0.25">
      <c r="A179" s="1">
        <v>8</v>
      </c>
      <c r="B179" s="6" t="s">
        <v>189</v>
      </c>
      <c r="C179" s="7" t="s">
        <v>368</v>
      </c>
      <c r="D179" s="56">
        <v>42915</v>
      </c>
      <c r="E179" s="56">
        <v>42945</v>
      </c>
      <c r="F179" s="8">
        <v>1818.04</v>
      </c>
      <c r="G179" s="8">
        <v>2272.5500000000002</v>
      </c>
      <c r="H179" s="56">
        <v>43008</v>
      </c>
      <c r="I179" s="8">
        <v>2272.5500000000002</v>
      </c>
      <c r="J179" s="5"/>
      <c r="L179" s="100"/>
    </row>
    <row r="180" spans="1:12" ht="36" x14ac:dyDescent="0.25">
      <c r="A180" s="1">
        <v>9</v>
      </c>
      <c r="B180" s="6" t="s">
        <v>189</v>
      </c>
      <c r="C180" s="7" t="s">
        <v>369</v>
      </c>
      <c r="D180" s="56">
        <v>42906</v>
      </c>
      <c r="E180" s="56">
        <v>42936</v>
      </c>
      <c r="F180" s="8">
        <v>300.89999999999998</v>
      </c>
      <c r="G180" s="8">
        <v>376.13</v>
      </c>
      <c r="H180" s="56">
        <v>43008</v>
      </c>
      <c r="I180" s="8">
        <v>376.125</v>
      </c>
      <c r="J180" s="5"/>
      <c r="L180" s="100"/>
    </row>
    <row r="181" spans="1:12" ht="36" x14ac:dyDescent="0.25">
      <c r="A181" s="1">
        <v>10</v>
      </c>
      <c r="B181" s="6" t="s">
        <v>189</v>
      </c>
      <c r="C181" s="7" t="s">
        <v>370</v>
      </c>
      <c r="D181" s="56">
        <v>42900</v>
      </c>
      <c r="E181" s="56">
        <v>42930</v>
      </c>
      <c r="F181" s="8">
        <v>395.26</v>
      </c>
      <c r="G181" s="8">
        <v>494.08</v>
      </c>
      <c r="H181" s="56">
        <v>43008</v>
      </c>
      <c r="I181" s="8">
        <v>494.07499999999999</v>
      </c>
      <c r="J181" s="5"/>
      <c r="L181" s="100"/>
    </row>
    <row r="182" spans="1:12" ht="36" x14ac:dyDescent="0.25">
      <c r="A182" s="1">
        <v>11</v>
      </c>
      <c r="B182" s="6" t="s">
        <v>189</v>
      </c>
      <c r="C182" s="7" t="s">
        <v>371</v>
      </c>
      <c r="D182" s="56">
        <v>42899</v>
      </c>
      <c r="E182" s="56">
        <v>42929</v>
      </c>
      <c r="F182" s="8">
        <v>2190.46</v>
      </c>
      <c r="G182" s="8">
        <v>2738.08</v>
      </c>
      <c r="H182" s="56">
        <v>43008</v>
      </c>
      <c r="I182" s="8">
        <v>2738.0749999999998</v>
      </c>
      <c r="J182" s="5"/>
      <c r="L182" s="100"/>
    </row>
    <row r="183" spans="1:12" ht="36" x14ac:dyDescent="0.25">
      <c r="A183" s="1">
        <v>12</v>
      </c>
      <c r="B183" s="6" t="s">
        <v>189</v>
      </c>
      <c r="C183" s="7" t="s">
        <v>372</v>
      </c>
      <c r="D183" s="56">
        <v>42894</v>
      </c>
      <c r="E183" s="56">
        <v>42924</v>
      </c>
      <c r="F183" s="8">
        <v>2407.04</v>
      </c>
      <c r="G183" s="8">
        <v>3008.8</v>
      </c>
      <c r="H183" s="56">
        <v>43008</v>
      </c>
      <c r="I183" s="8">
        <v>3008.8</v>
      </c>
      <c r="J183" s="5"/>
      <c r="L183" s="100"/>
    </row>
    <row r="184" spans="1:12" ht="24" x14ac:dyDescent="0.25">
      <c r="A184" s="1">
        <v>13</v>
      </c>
      <c r="B184" s="6" t="s">
        <v>190</v>
      </c>
      <c r="C184" s="7" t="s">
        <v>373</v>
      </c>
      <c r="D184" s="56">
        <v>42885</v>
      </c>
      <c r="E184" s="56">
        <v>42898</v>
      </c>
      <c r="F184" s="8">
        <v>4666.5</v>
      </c>
      <c r="G184" s="8">
        <v>5833.13</v>
      </c>
      <c r="H184" s="56">
        <v>42898</v>
      </c>
      <c r="I184" s="8">
        <v>5833.125</v>
      </c>
      <c r="J184" s="5"/>
      <c r="L184" s="100"/>
    </row>
    <row r="185" spans="1:12" ht="36" x14ac:dyDescent="0.25">
      <c r="A185" s="1">
        <v>14</v>
      </c>
      <c r="B185" s="6" t="s">
        <v>189</v>
      </c>
      <c r="C185" s="7" t="s">
        <v>374</v>
      </c>
      <c r="D185" s="56">
        <v>42884</v>
      </c>
      <c r="E185" s="56">
        <v>42915</v>
      </c>
      <c r="F185" s="8">
        <v>395.26</v>
      </c>
      <c r="G185" s="8">
        <v>494.08</v>
      </c>
      <c r="H185" s="56">
        <v>42916</v>
      </c>
      <c r="I185" s="8">
        <v>494.07499999999999</v>
      </c>
      <c r="J185" s="5"/>
      <c r="L185" s="100"/>
    </row>
    <row r="186" spans="1:12" ht="36" x14ac:dyDescent="0.25">
      <c r="A186" s="1">
        <v>15</v>
      </c>
      <c r="B186" s="6" t="s">
        <v>189</v>
      </c>
      <c r="C186" s="7" t="s">
        <v>375</v>
      </c>
      <c r="D186" s="56">
        <v>42864</v>
      </c>
      <c r="E186" s="56">
        <v>42895</v>
      </c>
      <c r="F186" s="8">
        <v>110</v>
      </c>
      <c r="G186" s="8">
        <v>137.5</v>
      </c>
      <c r="H186" s="56">
        <v>42916</v>
      </c>
      <c r="I186" s="8">
        <v>137.5</v>
      </c>
      <c r="J186" s="5"/>
      <c r="L186" s="100"/>
    </row>
    <row r="187" spans="1:12" ht="24" x14ac:dyDescent="0.25">
      <c r="A187" s="1">
        <v>16</v>
      </c>
      <c r="B187" s="6" t="s">
        <v>18</v>
      </c>
      <c r="C187" s="7" t="s">
        <v>376</v>
      </c>
      <c r="D187" s="56">
        <v>42859</v>
      </c>
      <c r="E187" s="56">
        <v>42916</v>
      </c>
      <c r="F187" s="8">
        <v>147478.20000000001</v>
      </c>
      <c r="G187" s="8">
        <v>184347.75</v>
      </c>
      <c r="H187" s="56">
        <v>42916</v>
      </c>
      <c r="I187" s="8">
        <v>184347.75</v>
      </c>
      <c r="J187" s="5"/>
      <c r="L187" s="100"/>
    </row>
    <row r="188" spans="1:12" ht="24" x14ac:dyDescent="0.25">
      <c r="A188" s="1">
        <v>17</v>
      </c>
      <c r="B188" s="6" t="s">
        <v>187</v>
      </c>
      <c r="C188" s="7" t="s">
        <v>377</v>
      </c>
      <c r="D188" s="56">
        <v>42849</v>
      </c>
      <c r="E188" s="56">
        <v>43214</v>
      </c>
      <c r="F188" s="8">
        <v>35177.660000000003</v>
      </c>
      <c r="G188" s="8">
        <v>43972.08</v>
      </c>
      <c r="H188" s="56">
        <v>42916</v>
      </c>
      <c r="I188" s="8">
        <v>5018.2125000000005</v>
      </c>
      <c r="J188" s="5"/>
      <c r="L188" s="100"/>
    </row>
    <row r="189" spans="1:12" ht="36" x14ac:dyDescent="0.25">
      <c r="A189" s="1">
        <v>18</v>
      </c>
      <c r="B189" s="6" t="s">
        <v>189</v>
      </c>
      <c r="C189" s="7" t="s">
        <v>378</v>
      </c>
      <c r="D189" s="56">
        <v>42836</v>
      </c>
      <c r="E189" s="56">
        <v>42866</v>
      </c>
      <c r="F189" s="8">
        <v>197.63</v>
      </c>
      <c r="G189" s="8">
        <v>247.04</v>
      </c>
      <c r="H189" s="56">
        <v>42916</v>
      </c>
      <c r="I189" s="8">
        <v>247.03749999999999</v>
      </c>
      <c r="J189" s="5"/>
      <c r="L189" s="100"/>
    </row>
    <row r="190" spans="1:12" ht="36" x14ac:dyDescent="0.25">
      <c r="A190" s="1">
        <v>19</v>
      </c>
      <c r="B190" s="6" t="s">
        <v>192</v>
      </c>
      <c r="C190" s="7" t="s">
        <v>379</v>
      </c>
      <c r="D190" s="56">
        <v>42835</v>
      </c>
      <c r="E190" s="56">
        <v>42916</v>
      </c>
      <c r="F190" s="8">
        <v>8092.38</v>
      </c>
      <c r="G190" s="8">
        <v>10115.48</v>
      </c>
      <c r="H190" s="56">
        <v>42916</v>
      </c>
      <c r="I190" s="8">
        <v>10115.475</v>
      </c>
      <c r="J190" s="5"/>
      <c r="L190" s="100"/>
    </row>
    <row r="191" spans="1:12" ht="36" x14ac:dyDescent="0.25">
      <c r="A191" s="1">
        <v>20</v>
      </c>
      <c r="B191" s="6" t="s">
        <v>189</v>
      </c>
      <c r="C191" s="7" t="s">
        <v>380</v>
      </c>
      <c r="D191" s="56">
        <v>42816</v>
      </c>
      <c r="E191" s="56">
        <v>42847</v>
      </c>
      <c r="F191" s="8">
        <v>1011.38</v>
      </c>
      <c r="G191" s="8">
        <v>1264.23</v>
      </c>
      <c r="H191" s="56">
        <v>42916</v>
      </c>
      <c r="I191" s="8">
        <v>1264.2249999999999</v>
      </c>
      <c r="J191" s="5"/>
      <c r="L191" s="100"/>
    </row>
    <row r="192" spans="1:12" ht="36" x14ac:dyDescent="0.25">
      <c r="A192" s="1">
        <v>21</v>
      </c>
      <c r="B192" s="6" t="s">
        <v>189</v>
      </c>
      <c r="C192" s="7" t="s">
        <v>381</v>
      </c>
      <c r="D192" s="56">
        <v>42809</v>
      </c>
      <c r="E192" s="56">
        <v>42840</v>
      </c>
      <c r="F192" s="8">
        <v>790.52</v>
      </c>
      <c r="G192" s="8">
        <v>988.15</v>
      </c>
      <c r="H192" s="56">
        <v>42916</v>
      </c>
      <c r="I192" s="8">
        <v>988.15</v>
      </c>
      <c r="J192" s="5"/>
      <c r="L192" s="100"/>
    </row>
    <row r="193" spans="1:12" ht="24" x14ac:dyDescent="0.25">
      <c r="A193" s="1">
        <v>22</v>
      </c>
      <c r="B193" s="6" t="s">
        <v>18</v>
      </c>
      <c r="C193" s="7" t="s">
        <v>382</v>
      </c>
      <c r="D193" s="56">
        <v>42802</v>
      </c>
      <c r="E193" s="56">
        <v>42825</v>
      </c>
      <c r="F193" s="8">
        <v>135776.39000000001</v>
      </c>
      <c r="G193" s="8">
        <v>169720.49</v>
      </c>
      <c r="H193" s="56">
        <v>42916</v>
      </c>
      <c r="I193" s="8">
        <v>169720.48750000002</v>
      </c>
      <c r="J193" s="5"/>
      <c r="L193" s="100"/>
    </row>
    <row r="194" spans="1:12" ht="36" x14ac:dyDescent="0.25">
      <c r="A194" s="1">
        <v>23</v>
      </c>
      <c r="B194" s="6" t="s">
        <v>189</v>
      </c>
      <c r="C194" s="7" t="s">
        <v>383</v>
      </c>
      <c r="D194" s="56">
        <v>42800</v>
      </c>
      <c r="E194" s="56">
        <v>42831</v>
      </c>
      <c r="F194" s="8">
        <v>395.26</v>
      </c>
      <c r="G194" s="8">
        <v>494.08</v>
      </c>
      <c r="H194" s="56">
        <v>42916</v>
      </c>
      <c r="I194" s="8">
        <v>494.07499999999999</v>
      </c>
      <c r="J194" s="5"/>
      <c r="L194" s="100"/>
    </row>
    <row r="195" spans="1:12" ht="24" x14ac:dyDescent="0.25">
      <c r="A195" s="1">
        <v>24</v>
      </c>
      <c r="B195" s="6" t="s">
        <v>203</v>
      </c>
      <c r="C195" s="7" t="s">
        <v>384</v>
      </c>
      <c r="D195" s="56">
        <v>42752</v>
      </c>
      <c r="E195" s="56">
        <v>43100</v>
      </c>
      <c r="F195" s="8">
        <v>126828.13</v>
      </c>
      <c r="G195" s="8">
        <v>158535.16</v>
      </c>
      <c r="H195" s="56">
        <v>43100</v>
      </c>
      <c r="I195" s="8">
        <v>95783.125</v>
      </c>
      <c r="J195" s="5"/>
      <c r="L195" s="100"/>
    </row>
    <row r="196" spans="1:12" ht="24" x14ac:dyDescent="0.25">
      <c r="A196" s="1">
        <v>25</v>
      </c>
      <c r="B196" s="6" t="s">
        <v>197</v>
      </c>
      <c r="C196" s="7" t="s">
        <v>385</v>
      </c>
      <c r="D196" s="56">
        <v>42795</v>
      </c>
      <c r="E196" s="56">
        <v>42825</v>
      </c>
      <c r="F196" s="8">
        <v>9860.08</v>
      </c>
      <c r="G196" s="8">
        <v>12325.1</v>
      </c>
      <c r="H196" s="56">
        <v>42825</v>
      </c>
      <c r="I196" s="8">
        <v>12325.1</v>
      </c>
      <c r="J196" s="37"/>
      <c r="L196" s="100"/>
    </row>
    <row r="197" spans="1:12" ht="36" x14ac:dyDescent="0.25">
      <c r="A197" s="1">
        <v>26</v>
      </c>
      <c r="B197" s="6" t="s">
        <v>191</v>
      </c>
      <c r="C197" s="7" t="s">
        <v>386</v>
      </c>
      <c r="D197" s="56">
        <v>42795</v>
      </c>
      <c r="E197" s="56">
        <v>43160</v>
      </c>
      <c r="F197" s="8">
        <v>266318.83</v>
      </c>
      <c r="G197" s="8">
        <v>332898.53999999998</v>
      </c>
      <c r="H197" s="56">
        <v>43100</v>
      </c>
      <c r="I197" s="8">
        <v>99842.712499999994</v>
      </c>
      <c r="J197" s="37"/>
      <c r="L197" s="100"/>
    </row>
    <row r="198" spans="1:12" ht="36" x14ac:dyDescent="0.25">
      <c r="A198" s="1">
        <v>27</v>
      </c>
      <c r="B198" s="6" t="s">
        <v>189</v>
      </c>
      <c r="C198" s="7" t="s">
        <v>387</v>
      </c>
      <c r="D198" s="56">
        <v>42790</v>
      </c>
      <c r="E198" s="56">
        <v>42818</v>
      </c>
      <c r="F198" s="8">
        <v>1976.3</v>
      </c>
      <c r="G198" s="8">
        <v>2470.38</v>
      </c>
      <c r="H198" s="56">
        <v>42825</v>
      </c>
      <c r="I198" s="8">
        <v>2470.375</v>
      </c>
      <c r="J198" s="37"/>
      <c r="L198" s="100"/>
    </row>
    <row r="199" spans="1:12" ht="24" x14ac:dyDescent="0.25">
      <c r="A199" s="1">
        <v>28</v>
      </c>
      <c r="B199" s="6" t="s">
        <v>199</v>
      </c>
      <c r="C199" s="7" t="s">
        <v>388</v>
      </c>
      <c r="D199" s="56">
        <v>42789</v>
      </c>
      <c r="E199" s="56">
        <v>43100</v>
      </c>
      <c r="F199" s="8">
        <v>44235.55</v>
      </c>
      <c r="G199" s="8">
        <v>55294.44</v>
      </c>
      <c r="H199" s="56">
        <v>43100</v>
      </c>
      <c r="I199" s="8">
        <v>34158.724999999999</v>
      </c>
      <c r="J199" s="37"/>
      <c r="L199" s="100"/>
    </row>
    <row r="200" spans="1:12" ht="36" x14ac:dyDescent="0.25">
      <c r="A200" s="1">
        <v>29</v>
      </c>
      <c r="B200" s="6" t="s">
        <v>189</v>
      </c>
      <c r="C200" s="7" t="s">
        <v>389</v>
      </c>
      <c r="D200" s="56">
        <v>42774</v>
      </c>
      <c r="E200" s="56">
        <v>42802</v>
      </c>
      <c r="F200" s="8">
        <v>1346.4</v>
      </c>
      <c r="G200" s="8">
        <v>1683</v>
      </c>
      <c r="H200" s="56">
        <v>42825</v>
      </c>
      <c r="I200" s="8">
        <v>1683</v>
      </c>
      <c r="J200" s="37"/>
      <c r="L200" s="100"/>
    </row>
    <row r="201" spans="1:12" ht="36" x14ac:dyDescent="0.25">
      <c r="A201" s="1">
        <v>30</v>
      </c>
      <c r="B201" s="6" t="s">
        <v>189</v>
      </c>
      <c r="C201" s="7" t="s">
        <v>390</v>
      </c>
      <c r="D201" s="56">
        <v>42773</v>
      </c>
      <c r="E201" s="56">
        <v>42801</v>
      </c>
      <c r="F201" s="8">
        <v>1224</v>
      </c>
      <c r="G201" s="8">
        <v>1530</v>
      </c>
      <c r="H201" s="56">
        <v>42825</v>
      </c>
      <c r="I201" s="8">
        <v>1530</v>
      </c>
      <c r="J201" s="37"/>
      <c r="L201" s="100"/>
    </row>
    <row r="202" spans="1:12" ht="36" x14ac:dyDescent="0.25">
      <c r="A202" s="1">
        <v>31</v>
      </c>
      <c r="B202" s="6" t="s">
        <v>97</v>
      </c>
      <c r="C202" s="7" t="s">
        <v>391</v>
      </c>
      <c r="D202" s="56">
        <v>42762</v>
      </c>
      <c r="E202" s="56">
        <v>43100</v>
      </c>
      <c r="F202" s="8">
        <v>34749.599999999999</v>
      </c>
      <c r="G202" s="8">
        <v>43437</v>
      </c>
      <c r="H202" s="56">
        <v>43008</v>
      </c>
      <c r="I202" s="8">
        <v>14479</v>
      </c>
      <c r="J202" s="37"/>
      <c r="L202" s="100"/>
    </row>
    <row r="203" spans="1:12" ht="24" x14ac:dyDescent="0.25">
      <c r="A203" s="1">
        <v>32</v>
      </c>
      <c r="B203" s="6" t="s">
        <v>209</v>
      </c>
      <c r="C203" s="7" t="s">
        <v>392</v>
      </c>
      <c r="D203" s="56">
        <v>42752</v>
      </c>
      <c r="E203" s="56">
        <v>43433</v>
      </c>
      <c r="F203" s="8">
        <v>141131.96</v>
      </c>
      <c r="G203" s="8">
        <v>176414.95</v>
      </c>
      <c r="H203" s="56">
        <v>43100</v>
      </c>
      <c r="I203" s="8">
        <v>80475.625</v>
      </c>
      <c r="J203" s="37"/>
      <c r="L203" s="100"/>
    </row>
    <row r="204" spans="1:12" ht="24" x14ac:dyDescent="0.25">
      <c r="A204" s="1">
        <v>33</v>
      </c>
      <c r="B204" s="6" t="s">
        <v>185</v>
      </c>
      <c r="C204" s="7" t="s">
        <v>393</v>
      </c>
      <c r="D204" s="56">
        <v>42751</v>
      </c>
      <c r="E204" s="56">
        <v>43116</v>
      </c>
      <c r="F204" s="8">
        <v>197170.22</v>
      </c>
      <c r="G204" s="8">
        <v>246462.78</v>
      </c>
      <c r="H204" s="56">
        <v>43100</v>
      </c>
      <c r="I204" s="8">
        <v>243160.05000000002</v>
      </c>
      <c r="J204" s="37"/>
      <c r="L204" s="100"/>
    </row>
    <row r="205" spans="1:12" ht="36" x14ac:dyDescent="0.25">
      <c r="A205" s="1">
        <v>34</v>
      </c>
      <c r="B205" s="6" t="s">
        <v>189</v>
      </c>
      <c r="C205" s="7" t="s">
        <v>394</v>
      </c>
      <c r="D205" s="56">
        <v>42747</v>
      </c>
      <c r="E205" s="56">
        <v>42778</v>
      </c>
      <c r="F205" s="8">
        <v>1535.1</v>
      </c>
      <c r="G205" s="8">
        <v>1918.88</v>
      </c>
      <c r="H205" s="56">
        <v>42825</v>
      </c>
      <c r="I205" s="8">
        <v>1918.875</v>
      </c>
      <c r="J205" s="37"/>
      <c r="L205" s="100"/>
    </row>
    <row r="206" spans="1:12" ht="24" x14ac:dyDescent="0.25">
      <c r="A206" s="1">
        <v>35</v>
      </c>
      <c r="B206" s="6" t="s">
        <v>193</v>
      </c>
      <c r="C206" s="7" t="s">
        <v>395</v>
      </c>
      <c r="D206" s="56">
        <v>42747</v>
      </c>
      <c r="E206" s="56">
        <v>43433</v>
      </c>
      <c r="F206" s="8">
        <v>922191.92</v>
      </c>
      <c r="G206" s="8">
        <v>1152739.8999999999</v>
      </c>
      <c r="H206" s="56">
        <v>43100</v>
      </c>
      <c r="I206" s="8">
        <v>327403.47499999998</v>
      </c>
      <c r="J206" s="37"/>
      <c r="L206" s="100"/>
    </row>
    <row r="207" spans="1:12" x14ac:dyDescent="0.25">
      <c r="A207" s="1">
        <v>36</v>
      </c>
      <c r="B207" s="6" t="s">
        <v>17</v>
      </c>
      <c r="C207" s="7" t="s">
        <v>396</v>
      </c>
      <c r="D207" s="56">
        <v>42747</v>
      </c>
      <c r="E207" s="56">
        <v>43112</v>
      </c>
      <c r="F207" s="8">
        <v>62312.65</v>
      </c>
      <c r="G207" s="8">
        <v>77890.81</v>
      </c>
      <c r="H207" s="56">
        <v>43100</v>
      </c>
      <c r="I207" s="8">
        <v>130351</v>
      </c>
      <c r="J207" s="37"/>
      <c r="L207" s="100"/>
    </row>
    <row r="208" spans="1:12" ht="24" x14ac:dyDescent="0.25">
      <c r="A208" s="1">
        <v>37</v>
      </c>
      <c r="B208" s="6" t="s">
        <v>203</v>
      </c>
      <c r="C208" s="7" t="s">
        <v>397</v>
      </c>
      <c r="D208" s="56">
        <v>42745</v>
      </c>
      <c r="E208" s="56">
        <v>42793</v>
      </c>
      <c r="F208" s="8">
        <v>42377.279999999999</v>
      </c>
      <c r="G208" s="8">
        <v>52971.6</v>
      </c>
      <c r="H208" s="56">
        <v>42825</v>
      </c>
      <c r="I208" s="8">
        <v>52971.6</v>
      </c>
      <c r="J208" s="37"/>
      <c r="L208" s="100"/>
    </row>
    <row r="209" spans="1:12" ht="24" x14ac:dyDescent="0.25">
      <c r="A209" s="1">
        <v>38</v>
      </c>
      <c r="B209" s="6" t="s">
        <v>195</v>
      </c>
      <c r="C209" s="7" t="s">
        <v>398</v>
      </c>
      <c r="D209" s="56">
        <v>42737</v>
      </c>
      <c r="E209" s="56">
        <v>43102</v>
      </c>
      <c r="F209" s="8">
        <v>120483.43</v>
      </c>
      <c r="G209" s="8">
        <v>150604.29</v>
      </c>
      <c r="H209" s="56">
        <v>43100</v>
      </c>
      <c r="I209" s="8">
        <v>104210.3875</v>
      </c>
      <c r="J209" s="37"/>
      <c r="L209" s="100"/>
    </row>
    <row r="210" spans="1:12" ht="24" x14ac:dyDescent="0.25">
      <c r="A210" s="1">
        <v>39</v>
      </c>
      <c r="B210" s="6" t="s">
        <v>205</v>
      </c>
      <c r="C210" s="7" t="s">
        <v>399</v>
      </c>
      <c r="D210" s="56">
        <v>42737</v>
      </c>
      <c r="E210" s="56">
        <v>43100</v>
      </c>
      <c r="F210" s="8">
        <v>250000</v>
      </c>
      <c r="G210" s="8">
        <v>312500</v>
      </c>
      <c r="H210" s="56">
        <v>43100</v>
      </c>
      <c r="I210" s="8">
        <v>135859.85</v>
      </c>
      <c r="J210" s="37"/>
      <c r="L210" s="100"/>
    </row>
    <row r="211" spans="1:12" ht="36" x14ac:dyDescent="0.25">
      <c r="A211" s="1">
        <v>40</v>
      </c>
      <c r="B211" s="6" t="s">
        <v>206</v>
      </c>
      <c r="C211" s="7" t="s">
        <v>400</v>
      </c>
      <c r="D211" s="56">
        <v>42737</v>
      </c>
      <c r="E211" s="56">
        <v>43100</v>
      </c>
      <c r="F211" s="8">
        <v>5000</v>
      </c>
      <c r="G211" s="8">
        <v>6250</v>
      </c>
      <c r="H211" s="56">
        <v>43008</v>
      </c>
      <c r="I211" s="8">
        <v>3824.1374999999998</v>
      </c>
      <c r="J211" s="37"/>
      <c r="L211" s="100"/>
    </row>
    <row r="212" spans="1:12" x14ac:dyDescent="0.25">
      <c r="A212" s="1">
        <v>41</v>
      </c>
      <c r="B212" s="6" t="s">
        <v>212</v>
      </c>
      <c r="C212" s="7" t="s">
        <v>74</v>
      </c>
      <c r="D212" s="56">
        <v>42818</v>
      </c>
      <c r="E212" s="56">
        <v>43433</v>
      </c>
      <c r="F212" s="8">
        <v>40000</v>
      </c>
      <c r="G212" s="8">
        <v>50000</v>
      </c>
      <c r="H212" s="56">
        <v>43100</v>
      </c>
      <c r="I212" s="8">
        <v>50618.625</v>
      </c>
      <c r="J212" s="37"/>
      <c r="L212" s="100"/>
    </row>
    <row r="213" spans="1:12" ht="36" x14ac:dyDescent="0.25">
      <c r="A213" s="1">
        <v>42</v>
      </c>
      <c r="B213" s="6" t="s">
        <v>206</v>
      </c>
      <c r="C213" s="7" t="s">
        <v>401</v>
      </c>
      <c r="D213" s="56">
        <v>42736</v>
      </c>
      <c r="E213" s="56">
        <v>43100</v>
      </c>
      <c r="F213" s="8">
        <v>7200</v>
      </c>
      <c r="G213" s="8">
        <v>9000</v>
      </c>
      <c r="H213" s="56">
        <v>43100</v>
      </c>
      <c r="I213" s="8">
        <v>4459.1374999999998</v>
      </c>
      <c r="J213" s="37"/>
      <c r="L213" s="100"/>
    </row>
    <row r="214" spans="1:12" x14ac:dyDescent="0.25">
      <c r="A214" s="1">
        <v>43</v>
      </c>
      <c r="B214" s="6" t="s">
        <v>207</v>
      </c>
      <c r="C214" s="7" t="s">
        <v>402</v>
      </c>
      <c r="D214" s="56">
        <v>42736</v>
      </c>
      <c r="E214" s="56">
        <v>43008</v>
      </c>
      <c r="F214" s="8">
        <v>27961.03</v>
      </c>
      <c r="G214" s="8">
        <v>34951.29</v>
      </c>
      <c r="H214" s="56">
        <v>43008</v>
      </c>
      <c r="I214" s="8">
        <v>34951.287499999999</v>
      </c>
      <c r="J214" s="37"/>
      <c r="L214" s="100"/>
    </row>
    <row r="215" spans="1:12" ht="36" x14ac:dyDescent="0.25">
      <c r="A215" s="1">
        <v>44</v>
      </c>
      <c r="B215" s="6" t="s">
        <v>208</v>
      </c>
      <c r="C215" s="7" t="s">
        <v>403</v>
      </c>
      <c r="D215" s="56">
        <v>42736</v>
      </c>
      <c r="E215" s="56">
        <v>43008</v>
      </c>
      <c r="F215" s="8">
        <v>68415.81</v>
      </c>
      <c r="G215" s="8">
        <v>85519.76</v>
      </c>
      <c r="H215" s="56">
        <v>43008</v>
      </c>
      <c r="I215" s="8">
        <v>85519.762499999997</v>
      </c>
      <c r="J215" s="37"/>
      <c r="L215" s="100"/>
    </row>
    <row r="216" spans="1:12" ht="36" x14ac:dyDescent="0.25">
      <c r="A216" s="1">
        <v>45</v>
      </c>
      <c r="B216" s="6" t="s">
        <v>192</v>
      </c>
      <c r="C216" s="7" t="s">
        <v>404</v>
      </c>
      <c r="D216" s="56">
        <v>42745</v>
      </c>
      <c r="E216" s="56">
        <v>42825</v>
      </c>
      <c r="F216" s="8">
        <v>11531.15</v>
      </c>
      <c r="G216" s="8">
        <v>14413.94</v>
      </c>
      <c r="H216" s="56">
        <v>42825</v>
      </c>
      <c r="I216" s="8">
        <v>14413.9375</v>
      </c>
      <c r="J216" s="37"/>
      <c r="L216" s="100"/>
    </row>
    <row r="217" spans="1:12" x14ac:dyDescent="0.25">
      <c r="A217" s="1">
        <v>46</v>
      </c>
      <c r="B217" s="6" t="s">
        <v>198</v>
      </c>
      <c r="C217" s="7" t="s">
        <v>405</v>
      </c>
      <c r="D217" s="56">
        <v>42734</v>
      </c>
      <c r="E217" s="56">
        <v>43099</v>
      </c>
      <c r="F217" s="8">
        <v>166499.79999999999</v>
      </c>
      <c r="G217" s="8">
        <v>208124.75</v>
      </c>
      <c r="H217" s="56">
        <v>43100</v>
      </c>
      <c r="I217" s="8">
        <v>85950.987499999988</v>
      </c>
      <c r="J217" s="37"/>
      <c r="L217" s="100"/>
    </row>
    <row r="218" spans="1:12" x14ac:dyDescent="0.25">
      <c r="A218" s="1">
        <v>47</v>
      </c>
      <c r="B218" s="6" t="s">
        <v>278</v>
      </c>
      <c r="C218" s="7" t="s">
        <v>406</v>
      </c>
      <c r="D218" s="56">
        <v>42732</v>
      </c>
      <c r="E218" s="56">
        <v>43433</v>
      </c>
      <c r="F218" s="8">
        <v>500788.71</v>
      </c>
      <c r="G218" s="8">
        <v>625985.89</v>
      </c>
      <c r="H218" s="56">
        <v>43100</v>
      </c>
      <c r="I218" s="8">
        <v>517444.91249999998</v>
      </c>
      <c r="J218" s="37"/>
      <c r="L218" s="100"/>
    </row>
    <row r="219" spans="1:12" ht="36" x14ac:dyDescent="0.25">
      <c r="A219" s="1">
        <v>48</v>
      </c>
      <c r="B219" s="6" t="s">
        <v>189</v>
      </c>
      <c r="C219" s="7" t="s">
        <v>407</v>
      </c>
      <c r="D219" s="56">
        <v>42724</v>
      </c>
      <c r="E219" s="56">
        <v>42755</v>
      </c>
      <c r="F219" s="8">
        <v>622.20000000000005</v>
      </c>
      <c r="G219" s="8">
        <v>777.75</v>
      </c>
      <c r="H219" s="56">
        <v>42825</v>
      </c>
      <c r="I219" s="8">
        <v>777.75</v>
      </c>
      <c r="J219" s="37"/>
      <c r="L219" s="100"/>
    </row>
    <row r="220" spans="1:12" ht="24" x14ac:dyDescent="0.25">
      <c r="A220" s="1">
        <v>49</v>
      </c>
      <c r="B220" s="6" t="s">
        <v>187</v>
      </c>
      <c r="C220" s="7" t="s">
        <v>408</v>
      </c>
      <c r="D220" s="56">
        <v>42724</v>
      </c>
      <c r="E220" s="56">
        <v>42916</v>
      </c>
      <c r="F220" s="8">
        <v>10481.81</v>
      </c>
      <c r="G220" s="8">
        <v>13102.26</v>
      </c>
      <c r="H220" s="56">
        <v>42916</v>
      </c>
      <c r="I220" s="8">
        <v>18374.425000000003</v>
      </c>
      <c r="J220" s="37"/>
      <c r="L220" s="100"/>
    </row>
    <row r="221" spans="1:12" ht="24" x14ac:dyDescent="0.25">
      <c r="A221" s="1">
        <v>50</v>
      </c>
      <c r="B221" s="6" t="s">
        <v>210</v>
      </c>
      <c r="C221" s="7" t="s">
        <v>409</v>
      </c>
      <c r="D221" s="56">
        <v>42717</v>
      </c>
      <c r="E221" s="56">
        <v>43082</v>
      </c>
      <c r="F221" s="8">
        <v>1364738.76</v>
      </c>
      <c r="G221" s="8">
        <v>1705923.45</v>
      </c>
      <c r="H221" s="56">
        <v>42825</v>
      </c>
      <c r="I221" s="8">
        <v>239095.98750000002</v>
      </c>
      <c r="J221" s="37"/>
      <c r="L221" s="100"/>
    </row>
    <row r="222" spans="1:12" ht="36" x14ac:dyDescent="0.25">
      <c r="A222" s="1">
        <v>51</v>
      </c>
      <c r="B222" s="6" t="s">
        <v>202</v>
      </c>
      <c r="C222" s="7" t="s">
        <v>410</v>
      </c>
      <c r="D222" s="56">
        <v>42713</v>
      </c>
      <c r="E222" s="56">
        <v>43069</v>
      </c>
      <c r="F222" s="8">
        <v>86503.02</v>
      </c>
      <c r="G222" s="8">
        <v>108128.78</v>
      </c>
      <c r="H222" s="56">
        <v>43069</v>
      </c>
      <c r="I222" s="8">
        <v>33126.975000000006</v>
      </c>
      <c r="J222" s="37"/>
      <c r="L222" s="100"/>
    </row>
    <row r="223" spans="1:12" ht="24" x14ac:dyDescent="0.25">
      <c r="A223" s="1">
        <v>52</v>
      </c>
      <c r="B223" s="6" t="s">
        <v>186</v>
      </c>
      <c r="C223" s="7" t="s">
        <v>411</v>
      </c>
      <c r="D223" s="56">
        <v>42709</v>
      </c>
      <c r="E223" s="56">
        <v>43073</v>
      </c>
      <c r="F223" s="8">
        <v>87438.41</v>
      </c>
      <c r="G223" s="8">
        <v>109298.01</v>
      </c>
      <c r="H223" s="56">
        <v>43008</v>
      </c>
      <c r="I223" s="8">
        <v>57470.787499999999</v>
      </c>
      <c r="J223" s="37"/>
      <c r="L223" s="100"/>
    </row>
    <row r="224" spans="1:12" ht="24" x14ac:dyDescent="0.25">
      <c r="A224" s="1">
        <v>53</v>
      </c>
      <c r="B224" s="6" t="s">
        <v>196</v>
      </c>
      <c r="C224" s="7" t="s">
        <v>412</v>
      </c>
      <c r="D224" s="56">
        <v>42709</v>
      </c>
      <c r="E224" s="56">
        <v>43074</v>
      </c>
      <c r="F224" s="8">
        <v>195969.33</v>
      </c>
      <c r="G224" s="8">
        <v>244961.66</v>
      </c>
      <c r="H224" s="56">
        <v>43074</v>
      </c>
      <c r="I224" s="8">
        <v>149791.97500000001</v>
      </c>
      <c r="J224" s="37"/>
      <c r="L224" s="100"/>
    </row>
    <row r="225" spans="1:14" ht="24" x14ac:dyDescent="0.25">
      <c r="A225" s="1">
        <v>54</v>
      </c>
      <c r="B225" s="6" t="s">
        <v>201</v>
      </c>
      <c r="C225" s="7" t="s">
        <v>413</v>
      </c>
      <c r="D225" s="56">
        <v>42703</v>
      </c>
      <c r="E225" s="56">
        <v>43433</v>
      </c>
      <c r="F225" s="8">
        <v>110000</v>
      </c>
      <c r="G225" s="8">
        <v>137500</v>
      </c>
      <c r="H225" s="56">
        <v>43100</v>
      </c>
      <c r="I225" s="8">
        <v>63581.162499999999</v>
      </c>
      <c r="J225" s="37"/>
      <c r="L225" s="100"/>
    </row>
    <row r="226" spans="1:14" ht="24" x14ac:dyDescent="0.25">
      <c r="A226" s="1">
        <v>55</v>
      </c>
      <c r="B226" s="6" t="s">
        <v>211</v>
      </c>
      <c r="C226" s="7" t="s">
        <v>413</v>
      </c>
      <c r="D226" s="56">
        <v>42703</v>
      </c>
      <c r="E226" s="56">
        <v>43433</v>
      </c>
      <c r="F226" s="8">
        <v>15000</v>
      </c>
      <c r="G226" s="8">
        <v>18750</v>
      </c>
      <c r="H226" s="56">
        <v>43100</v>
      </c>
      <c r="I226" s="8">
        <v>21456.287499999999</v>
      </c>
      <c r="J226" s="37"/>
      <c r="L226" s="100"/>
    </row>
    <row r="227" spans="1:14" ht="24" x14ac:dyDescent="0.25">
      <c r="A227" s="1">
        <v>56</v>
      </c>
      <c r="B227" s="6" t="s">
        <v>279</v>
      </c>
      <c r="C227" s="7" t="s">
        <v>414</v>
      </c>
      <c r="D227" s="56">
        <v>42672</v>
      </c>
      <c r="E227" s="56">
        <v>43402</v>
      </c>
      <c r="F227" s="8">
        <v>0</v>
      </c>
      <c r="G227" s="8">
        <v>0</v>
      </c>
      <c r="H227" s="56">
        <v>43100</v>
      </c>
      <c r="I227" s="8">
        <v>667.5</v>
      </c>
      <c r="J227" s="37"/>
      <c r="L227" s="100"/>
    </row>
    <row r="228" spans="1:14" ht="7.5" customHeight="1" x14ac:dyDescent="0.25">
      <c r="I228" s="40"/>
      <c r="J228" s="40"/>
    </row>
    <row r="229" spans="1:14" x14ac:dyDescent="0.25">
      <c r="A229" s="175" t="s">
        <v>41</v>
      </c>
      <c r="B229" s="175"/>
      <c r="C229" s="175"/>
      <c r="D229" s="175"/>
      <c r="E229" s="175"/>
      <c r="F229" s="175"/>
      <c r="G229" s="175"/>
      <c r="H229" s="175"/>
      <c r="I229" s="175"/>
      <c r="J229" s="175"/>
      <c r="K229" s="175"/>
      <c r="L229" s="175"/>
      <c r="M229" s="175"/>
      <c r="N229" s="175"/>
    </row>
    <row r="230" spans="1:14" ht="36" x14ac:dyDescent="0.25">
      <c r="A230" s="53" t="s">
        <v>0</v>
      </c>
      <c r="B230" s="54" t="s">
        <v>1</v>
      </c>
      <c r="C230" s="54" t="s">
        <v>3</v>
      </c>
      <c r="D230" s="178" t="s">
        <v>171</v>
      </c>
      <c r="E230" s="178"/>
      <c r="F230" s="54" t="s">
        <v>166</v>
      </c>
      <c r="G230" s="54" t="s">
        <v>170</v>
      </c>
      <c r="H230" s="54" t="s">
        <v>167</v>
      </c>
      <c r="I230" s="54" t="s">
        <v>4</v>
      </c>
      <c r="J230" s="54" t="s">
        <v>5</v>
      </c>
      <c r="K230" s="54" t="s">
        <v>2</v>
      </c>
      <c r="L230" s="54" t="s">
        <v>172</v>
      </c>
      <c r="M230" s="54" t="s">
        <v>173</v>
      </c>
      <c r="N230" s="54" t="s">
        <v>169</v>
      </c>
    </row>
    <row r="231" spans="1:14" ht="50.25" customHeight="1" x14ac:dyDescent="0.25">
      <c r="A231" s="1">
        <v>1</v>
      </c>
      <c r="B231" s="4" t="s">
        <v>53</v>
      </c>
      <c r="C231" s="1" t="s">
        <v>75</v>
      </c>
      <c r="D231" s="179" t="s">
        <v>1016</v>
      </c>
      <c r="E231" s="180"/>
      <c r="F231" s="38" t="s">
        <v>99</v>
      </c>
      <c r="G231" s="38" t="s">
        <v>184</v>
      </c>
      <c r="H231" s="1" t="s">
        <v>15</v>
      </c>
      <c r="I231" s="15">
        <v>42703</v>
      </c>
      <c r="J231" s="1" t="s">
        <v>51</v>
      </c>
      <c r="K231" s="8">
        <v>5209079.71</v>
      </c>
      <c r="L231" s="8">
        <f>K231*0.25</f>
        <v>1302269.9275</v>
      </c>
      <c r="M231" s="8">
        <v>6511349.6375000002</v>
      </c>
      <c r="N231" s="176"/>
    </row>
    <row r="232" spans="1:14" ht="15" customHeight="1" x14ac:dyDescent="0.25">
      <c r="A232" s="177" t="s">
        <v>1012</v>
      </c>
      <c r="B232" s="177"/>
      <c r="C232" s="177"/>
      <c r="D232" s="177"/>
      <c r="E232" s="177"/>
      <c r="F232" s="177"/>
      <c r="G232" s="177"/>
      <c r="H232" s="177"/>
      <c r="I232" s="177"/>
      <c r="J232" s="177"/>
      <c r="K232" s="177"/>
      <c r="L232" s="177"/>
      <c r="M232" s="8">
        <v>1488532.13</v>
      </c>
      <c r="N232" s="176"/>
    </row>
    <row r="233" spans="1:14" ht="7.5" customHeight="1" x14ac:dyDescent="0.25"/>
    <row r="234" spans="1:14" ht="15" customHeight="1" x14ac:dyDescent="0.25">
      <c r="A234" s="175" t="s">
        <v>12</v>
      </c>
      <c r="B234" s="175"/>
      <c r="C234" s="175"/>
      <c r="D234" s="175"/>
      <c r="E234" s="175"/>
      <c r="F234" s="175"/>
      <c r="G234" s="175"/>
      <c r="H234" s="175"/>
      <c r="I234" s="175"/>
      <c r="J234" s="175"/>
      <c r="K234" s="49"/>
      <c r="L234" s="49"/>
    </row>
    <row r="235" spans="1:14" ht="48" customHeight="1" x14ac:dyDescent="0.25">
      <c r="A235" s="2" t="s">
        <v>0</v>
      </c>
      <c r="B235" s="3" t="s">
        <v>7</v>
      </c>
      <c r="C235" s="3" t="s">
        <v>6</v>
      </c>
      <c r="D235" s="3" t="s">
        <v>8</v>
      </c>
      <c r="E235" s="3" t="s">
        <v>168</v>
      </c>
      <c r="F235" s="3" t="s">
        <v>174</v>
      </c>
      <c r="G235" s="3" t="s">
        <v>175</v>
      </c>
      <c r="H235" s="3" t="s">
        <v>9</v>
      </c>
      <c r="I235" s="3" t="s">
        <v>176</v>
      </c>
      <c r="J235" s="3" t="s">
        <v>10</v>
      </c>
      <c r="K235" s="48"/>
      <c r="L235" s="48"/>
      <c r="M235" s="48"/>
    </row>
    <row r="236" spans="1:14" x14ac:dyDescent="0.25">
      <c r="A236" s="1">
        <v>1</v>
      </c>
      <c r="B236" s="60" t="s">
        <v>204</v>
      </c>
      <c r="C236" s="10" t="str">
        <f>"17R0000730"</f>
        <v>17R0000730</v>
      </c>
      <c r="D236" s="56">
        <v>43060</v>
      </c>
      <c r="E236" s="56">
        <v>43074</v>
      </c>
      <c r="F236" s="8">
        <v>11600.46</v>
      </c>
      <c r="G236" s="8">
        <v>14500.58</v>
      </c>
      <c r="H236" s="56">
        <v>43081</v>
      </c>
      <c r="I236" s="24">
        <v>14500.574999999999</v>
      </c>
      <c r="J236" s="8"/>
      <c r="L236"/>
      <c r="M236" s="104"/>
    </row>
    <row r="237" spans="1:14" ht="36" x14ac:dyDescent="0.25">
      <c r="A237" s="1">
        <v>2</v>
      </c>
      <c r="B237" s="60" t="s">
        <v>189</v>
      </c>
      <c r="C237" s="10" t="str">
        <f>"775/2017"</f>
        <v>775/2017</v>
      </c>
      <c r="D237" s="56">
        <v>43038</v>
      </c>
      <c r="E237" s="56">
        <v>43069</v>
      </c>
      <c r="F237" s="8">
        <v>1409.82</v>
      </c>
      <c r="G237" s="8">
        <v>1762.28</v>
      </c>
      <c r="H237" s="56">
        <v>43100</v>
      </c>
      <c r="I237" s="24">
        <v>1762.2749999999999</v>
      </c>
      <c r="J237" s="8"/>
      <c r="L237"/>
      <c r="M237" s="104"/>
    </row>
    <row r="238" spans="1:14" ht="24" x14ac:dyDescent="0.25">
      <c r="A238" s="1">
        <v>3</v>
      </c>
      <c r="B238" s="60" t="s">
        <v>18</v>
      </c>
      <c r="C238" s="10" t="str">
        <f>"SNUG-202-17-059-2"</f>
        <v>SNUG-202-17-059-2</v>
      </c>
      <c r="D238" s="56">
        <v>43033</v>
      </c>
      <c r="E238" s="56">
        <v>43100</v>
      </c>
      <c r="F238" s="8">
        <v>171283.27</v>
      </c>
      <c r="G238" s="8">
        <v>214104.09</v>
      </c>
      <c r="H238" s="56">
        <v>43100</v>
      </c>
      <c r="I238" s="24">
        <v>214104.08749999999</v>
      </c>
      <c r="J238" s="8"/>
      <c r="L238"/>
      <c r="M238" s="104"/>
    </row>
    <row r="239" spans="1:14" ht="36" x14ac:dyDescent="0.25">
      <c r="A239" s="1">
        <v>4</v>
      </c>
      <c r="B239" s="60" t="s">
        <v>189</v>
      </c>
      <c r="C239" s="10" t="str">
        <f>"699/2017"</f>
        <v>699/2017</v>
      </c>
      <c r="D239" s="56">
        <v>43019</v>
      </c>
      <c r="E239" s="56">
        <v>43050</v>
      </c>
      <c r="F239" s="8">
        <v>1409.82</v>
      </c>
      <c r="G239" s="8">
        <v>1762.28</v>
      </c>
      <c r="H239" s="56">
        <v>43100</v>
      </c>
      <c r="I239" s="24">
        <v>0</v>
      </c>
      <c r="J239" s="8"/>
      <c r="L239"/>
      <c r="M239" s="104"/>
    </row>
    <row r="240" spans="1:14" x14ac:dyDescent="0.25">
      <c r="A240" s="1">
        <v>5</v>
      </c>
      <c r="B240" s="60" t="s">
        <v>204</v>
      </c>
      <c r="C240" s="10" t="str">
        <f>"17R0000490"</f>
        <v>17R0000490</v>
      </c>
      <c r="D240" s="56">
        <v>42956</v>
      </c>
      <c r="E240" s="56">
        <v>42972</v>
      </c>
      <c r="F240" s="8">
        <v>3350.7</v>
      </c>
      <c r="G240" s="8">
        <v>4188.38</v>
      </c>
      <c r="H240" s="56">
        <v>42973</v>
      </c>
      <c r="I240" s="24">
        <v>4188.375</v>
      </c>
      <c r="J240" s="24"/>
      <c r="L240"/>
      <c r="M240" s="104"/>
    </row>
    <row r="241" spans="1:13" ht="24" x14ac:dyDescent="0.25">
      <c r="A241" s="1">
        <v>6</v>
      </c>
      <c r="B241" s="60" t="s">
        <v>18</v>
      </c>
      <c r="C241" s="10" t="str">
        <f>"SNUG-202-17-0046-2"</f>
        <v>SNUG-202-17-0046-2</v>
      </c>
      <c r="D241" s="56">
        <v>42919</v>
      </c>
      <c r="E241" s="56">
        <v>43008</v>
      </c>
      <c r="F241" s="8">
        <v>156513.4</v>
      </c>
      <c r="G241" s="8">
        <v>195641.75</v>
      </c>
      <c r="H241" s="56">
        <v>43008</v>
      </c>
      <c r="I241" s="24">
        <v>195641.75</v>
      </c>
      <c r="J241" s="24"/>
      <c r="L241"/>
      <c r="M241" s="104"/>
    </row>
    <row r="242" spans="1:13" ht="36" x14ac:dyDescent="0.25">
      <c r="A242" s="1">
        <v>7</v>
      </c>
      <c r="B242" s="60" t="s">
        <v>189</v>
      </c>
      <c r="C242" s="10" t="str">
        <f>"429/2017"</f>
        <v>429/2017</v>
      </c>
      <c r="D242" s="56">
        <v>42915</v>
      </c>
      <c r="E242" s="56">
        <v>42945</v>
      </c>
      <c r="F242" s="8">
        <v>142.80000000000001</v>
      </c>
      <c r="G242" s="8">
        <v>178.5</v>
      </c>
      <c r="H242" s="56">
        <v>43008</v>
      </c>
      <c r="I242" s="24">
        <v>178.5</v>
      </c>
      <c r="J242" s="24"/>
      <c r="L242"/>
      <c r="M242" s="104"/>
    </row>
    <row r="243" spans="1:13" ht="36" x14ac:dyDescent="0.25">
      <c r="A243" s="1">
        <v>8</v>
      </c>
      <c r="B243" s="60" t="s">
        <v>189</v>
      </c>
      <c r="C243" s="10" t="str">
        <f>"163/2017"</f>
        <v>163/2017</v>
      </c>
      <c r="D243" s="56">
        <v>42810</v>
      </c>
      <c r="E243" s="56">
        <v>42841</v>
      </c>
      <c r="F243" s="8">
        <v>1409.82</v>
      </c>
      <c r="G243" s="8">
        <v>1762.28</v>
      </c>
      <c r="H243" s="56">
        <v>42916</v>
      </c>
      <c r="I243" s="24">
        <v>1762.2749999999999</v>
      </c>
      <c r="J243" s="24"/>
      <c r="L243"/>
      <c r="M243" s="104"/>
    </row>
    <row r="244" spans="1:13" ht="24" x14ac:dyDescent="0.25">
      <c r="A244" s="1">
        <v>9</v>
      </c>
      <c r="B244" s="60" t="s">
        <v>18</v>
      </c>
      <c r="C244" s="10" t="str">
        <f>"SNUG-202-17-014-2"</f>
        <v>SNUG-202-17-014-2</v>
      </c>
      <c r="D244" s="56">
        <v>42802</v>
      </c>
      <c r="E244" s="56">
        <v>42825</v>
      </c>
      <c r="F244" s="8">
        <v>170752.19</v>
      </c>
      <c r="G244" s="8">
        <v>213440.24</v>
      </c>
      <c r="H244" s="56">
        <v>42916</v>
      </c>
      <c r="I244" s="24">
        <v>213440.23749999999</v>
      </c>
      <c r="J244" s="24"/>
      <c r="L244"/>
      <c r="M244" s="104"/>
    </row>
    <row r="245" spans="1:13" ht="36" x14ac:dyDescent="0.25">
      <c r="A245" s="1">
        <v>10</v>
      </c>
      <c r="B245" s="60" t="s">
        <v>189</v>
      </c>
      <c r="C245" s="10" t="str">
        <f>"132/2017"</f>
        <v>132/2017</v>
      </c>
      <c r="D245" s="56">
        <v>42796</v>
      </c>
      <c r="E245" s="56">
        <v>42827</v>
      </c>
      <c r="F245" s="8">
        <v>704.91</v>
      </c>
      <c r="G245" s="8">
        <v>881.14</v>
      </c>
      <c r="H245" s="56">
        <v>42827</v>
      </c>
      <c r="I245" s="24">
        <v>881.13749999999993</v>
      </c>
      <c r="J245" s="24"/>
      <c r="L245"/>
      <c r="M245" s="104"/>
    </row>
    <row r="246" spans="1:13" ht="24" x14ac:dyDescent="0.25">
      <c r="A246" s="1">
        <v>11</v>
      </c>
      <c r="B246" s="60" t="s">
        <v>203</v>
      </c>
      <c r="C246" s="10" t="str">
        <f>"U-2-MV/17"</f>
        <v>U-2-MV/17</v>
      </c>
      <c r="D246" s="56">
        <v>42752</v>
      </c>
      <c r="E246" s="56">
        <v>43100</v>
      </c>
      <c r="F246" s="8">
        <v>19549.96</v>
      </c>
      <c r="G246" s="8">
        <v>24437.45</v>
      </c>
      <c r="H246" s="56">
        <v>43100</v>
      </c>
      <c r="I246" s="24">
        <v>8601.7250000000004</v>
      </c>
      <c r="J246" s="24"/>
      <c r="L246"/>
      <c r="M246" s="104"/>
    </row>
    <row r="247" spans="1:13" ht="36" x14ac:dyDescent="0.25">
      <c r="A247" s="1">
        <v>12</v>
      </c>
      <c r="B247" s="60" t="s">
        <v>191</v>
      </c>
      <c r="C247" s="10" t="str">
        <f>"KL:406-01/15-01/133UR:12 MFIN"</f>
        <v>KL:406-01/15-01/133UR:12 MFIN</v>
      </c>
      <c r="D247" s="56">
        <v>42795</v>
      </c>
      <c r="E247" s="56">
        <v>43160</v>
      </c>
      <c r="F247" s="8">
        <v>50487.63</v>
      </c>
      <c r="G247" s="8">
        <v>63109.54</v>
      </c>
      <c r="H247" s="56">
        <v>43100</v>
      </c>
      <c r="I247" s="102">
        <v>29184.974999999999</v>
      </c>
      <c r="J247" s="24"/>
      <c r="L247"/>
      <c r="M247" s="104"/>
    </row>
    <row r="248" spans="1:13" ht="24" x14ac:dyDescent="0.25">
      <c r="A248" s="1">
        <v>13</v>
      </c>
      <c r="B248" s="60" t="s">
        <v>197</v>
      </c>
      <c r="C248" s="10" t="str">
        <f>"N060/2017LR"</f>
        <v>N060/2017LR</v>
      </c>
      <c r="D248" s="56">
        <v>42795</v>
      </c>
      <c r="E248" s="56">
        <v>42825</v>
      </c>
      <c r="F248" s="8">
        <v>844.56</v>
      </c>
      <c r="G248" s="8">
        <v>1055.7</v>
      </c>
      <c r="H248" s="56">
        <v>42825</v>
      </c>
      <c r="I248" s="24">
        <v>1055.6999999999998</v>
      </c>
      <c r="J248" s="24"/>
      <c r="L248"/>
      <c r="M248" s="104"/>
    </row>
    <row r="249" spans="1:13" ht="36" x14ac:dyDescent="0.25">
      <c r="A249" s="1">
        <v>14</v>
      </c>
      <c r="B249" s="60" t="s">
        <v>189</v>
      </c>
      <c r="C249" s="10" t="str">
        <f>"120/2017"</f>
        <v>120/2017</v>
      </c>
      <c r="D249" s="56">
        <v>42790</v>
      </c>
      <c r="E249" s="56">
        <v>42818</v>
      </c>
      <c r="F249" s="8">
        <v>2819.64</v>
      </c>
      <c r="G249" s="8">
        <v>3524.55</v>
      </c>
      <c r="H249" s="56">
        <v>42825</v>
      </c>
      <c r="I249" s="24">
        <v>3524.5499999999997</v>
      </c>
      <c r="J249" s="24"/>
      <c r="L249"/>
      <c r="M249" s="104"/>
    </row>
    <row r="250" spans="1:13" x14ac:dyDescent="0.25">
      <c r="A250" s="1">
        <v>15</v>
      </c>
      <c r="B250" s="60" t="s">
        <v>198</v>
      </c>
      <c r="C250" s="10" t="str">
        <f>"P/14676421"</f>
        <v>P/14676421</v>
      </c>
      <c r="D250" s="56">
        <v>42781</v>
      </c>
      <c r="E250" s="56">
        <v>43137</v>
      </c>
      <c r="F250" s="8">
        <v>12395.64</v>
      </c>
      <c r="G250" s="8">
        <v>15494.55</v>
      </c>
      <c r="H250" s="56">
        <v>43100</v>
      </c>
      <c r="I250" s="102">
        <v>4515.7749999999996</v>
      </c>
      <c r="J250" s="24"/>
      <c r="L250"/>
      <c r="M250" s="104"/>
    </row>
    <row r="251" spans="1:13" ht="36" x14ac:dyDescent="0.25">
      <c r="A251" s="1">
        <v>16</v>
      </c>
      <c r="B251" s="60" t="s">
        <v>97</v>
      </c>
      <c r="C251" s="10" t="str">
        <f>"519-02-3/1-17-20"</f>
        <v>519-02-3/1-17-20</v>
      </c>
      <c r="D251" s="56">
        <v>42762</v>
      </c>
      <c r="E251" s="56">
        <v>43100</v>
      </c>
      <c r="F251" s="8">
        <v>45900</v>
      </c>
      <c r="G251" s="8">
        <v>57375</v>
      </c>
      <c r="H251" s="56">
        <v>43008</v>
      </c>
      <c r="I251" s="24">
        <v>34425</v>
      </c>
      <c r="J251" s="24"/>
      <c r="L251"/>
      <c r="M251" s="104"/>
    </row>
    <row r="252" spans="1:13" ht="24" x14ac:dyDescent="0.25">
      <c r="A252" s="1">
        <v>17</v>
      </c>
      <c r="B252" s="60" t="s">
        <v>193</v>
      </c>
      <c r="C252" s="10" t="str">
        <f>"45-4-16-5"</f>
        <v>45-4-16-5</v>
      </c>
      <c r="D252" s="56">
        <v>42752</v>
      </c>
      <c r="E252" s="56">
        <v>43433</v>
      </c>
      <c r="F252" s="8">
        <v>46161.599999999999</v>
      </c>
      <c r="G252" s="8">
        <v>57702</v>
      </c>
      <c r="H252" s="56">
        <v>43100</v>
      </c>
      <c r="I252" s="102">
        <v>5428.95</v>
      </c>
      <c r="J252" s="24"/>
      <c r="L252"/>
      <c r="M252" s="104"/>
    </row>
    <row r="253" spans="1:13" ht="24" x14ac:dyDescent="0.25">
      <c r="A253" s="1">
        <v>18</v>
      </c>
      <c r="B253" s="60" t="s">
        <v>209</v>
      </c>
      <c r="C253" s="10" t="str">
        <f>"406-01/16-01/63-G2"</f>
        <v>406-01/16-01/63-G2</v>
      </c>
      <c r="D253" s="56">
        <v>42752</v>
      </c>
      <c r="E253" s="56">
        <v>43433</v>
      </c>
      <c r="F253" s="8">
        <v>18631.439999999999</v>
      </c>
      <c r="G253" s="8">
        <v>23289.3</v>
      </c>
      <c r="H253" s="56">
        <v>43100</v>
      </c>
      <c r="I253" s="24">
        <v>8612.5250000000015</v>
      </c>
      <c r="J253" s="24"/>
      <c r="L253"/>
      <c r="M253" s="104"/>
    </row>
    <row r="254" spans="1:13" ht="36" x14ac:dyDescent="0.25">
      <c r="A254" s="1">
        <v>19</v>
      </c>
      <c r="B254" s="60" t="s">
        <v>189</v>
      </c>
      <c r="C254" s="10" t="str">
        <f>"11/2017"</f>
        <v>11/2017</v>
      </c>
      <c r="D254" s="56">
        <v>42747</v>
      </c>
      <c r="E254" s="56">
        <v>42778</v>
      </c>
      <c r="F254" s="8">
        <v>5782.08</v>
      </c>
      <c r="G254" s="8">
        <v>7227.6</v>
      </c>
      <c r="H254" s="56">
        <v>42825</v>
      </c>
      <c r="I254" s="102">
        <v>7227.6</v>
      </c>
      <c r="J254" s="24"/>
      <c r="L254"/>
      <c r="M254" s="104"/>
    </row>
    <row r="255" spans="1:13" x14ac:dyDescent="0.25">
      <c r="A255" s="1">
        <v>20</v>
      </c>
      <c r="B255" s="60" t="s">
        <v>17</v>
      </c>
      <c r="C255" s="10" t="str">
        <f>"14-DUSJN/16-2"</f>
        <v>14-DUSJN/16-2</v>
      </c>
      <c r="D255" s="56">
        <v>42747</v>
      </c>
      <c r="E255" s="56">
        <v>43112</v>
      </c>
      <c r="F255" s="8">
        <v>32689.85</v>
      </c>
      <c r="G255" s="8">
        <v>40862.31</v>
      </c>
      <c r="H255" s="56">
        <v>43100</v>
      </c>
      <c r="I255" s="24">
        <v>47839.462500000001</v>
      </c>
      <c r="J255" s="24"/>
      <c r="L255"/>
      <c r="M255" s="104"/>
    </row>
    <row r="256" spans="1:13" ht="36" x14ac:dyDescent="0.25">
      <c r="A256" s="1">
        <v>21</v>
      </c>
      <c r="B256" s="60" t="s">
        <v>189</v>
      </c>
      <c r="C256" s="10" t="str">
        <f>"6/2017"</f>
        <v>6/2017</v>
      </c>
      <c r="D256" s="56">
        <v>42746</v>
      </c>
      <c r="E256" s="56">
        <v>42777</v>
      </c>
      <c r="F256" s="8">
        <v>1409.82</v>
      </c>
      <c r="G256" s="8">
        <v>1762.28</v>
      </c>
      <c r="H256" s="56">
        <v>42825</v>
      </c>
      <c r="I256" s="102">
        <v>1762.2749999999999</v>
      </c>
      <c r="J256" s="24"/>
      <c r="L256"/>
      <c r="M256" s="104"/>
    </row>
    <row r="257" spans="1:13" ht="24" x14ac:dyDescent="0.25">
      <c r="A257" s="1">
        <v>22</v>
      </c>
      <c r="B257" s="60" t="s">
        <v>203</v>
      </c>
      <c r="C257" s="10" t="str">
        <f>"NARUDŽBENICE CANON 2017."</f>
        <v>NARUDŽBENICE CANON 2017.</v>
      </c>
      <c r="D257" s="56">
        <v>42745</v>
      </c>
      <c r="E257" s="56">
        <v>42790</v>
      </c>
      <c r="F257" s="8">
        <v>12256.09</v>
      </c>
      <c r="G257" s="8">
        <v>15320.11</v>
      </c>
      <c r="H257" s="56">
        <v>42825</v>
      </c>
      <c r="I257" s="24">
        <v>15320.112499999999</v>
      </c>
      <c r="J257" s="24"/>
      <c r="L257"/>
      <c r="M257" s="104"/>
    </row>
    <row r="258" spans="1:13" ht="24" x14ac:dyDescent="0.25">
      <c r="A258" s="1">
        <v>23</v>
      </c>
      <c r="B258" s="60" t="s">
        <v>205</v>
      </c>
      <c r="C258" s="10" t="str">
        <f>"MRM-CANON-2017"</f>
        <v>MRM-CANON-2017</v>
      </c>
      <c r="D258" s="56">
        <v>42737</v>
      </c>
      <c r="E258" s="56">
        <v>43100</v>
      </c>
      <c r="F258" s="8">
        <v>25000</v>
      </c>
      <c r="G258" s="8">
        <v>31250</v>
      </c>
      <c r="H258" s="56">
        <v>43100</v>
      </c>
      <c r="I258" s="24">
        <v>8313.4750000000004</v>
      </c>
      <c r="J258" s="24"/>
      <c r="L258"/>
      <c r="M258" s="104"/>
    </row>
    <row r="259" spans="1:13" ht="24" x14ac:dyDescent="0.25">
      <c r="A259" s="1">
        <v>24</v>
      </c>
      <c r="B259" s="60" t="s">
        <v>195</v>
      </c>
      <c r="C259" s="10" t="str">
        <f>"165-78109-1/2016"</f>
        <v>165-78109-1/2016</v>
      </c>
      <c r="D259" s="56">
        <v>42737</v>
      </c>
      <c r="E259" s="56">
        <v>43102</v>
      </c>
      <c r="F259" s="8">
        <v>114287.21</v>
      </c>
      <c r="G259" s="8">
        <v>142859.01</v>
      </c>
      <c r="H259" s="56">
        <v>43100</v>
      </c>
      <c r="I259" s="24">
        <v>134975.71250000002</v>
      </c>
      <c r="J259" s="24"/>
      <c r="L259"/>
      <c r="M259" s="104"/>
    </row>
    <row r="260" spans="1:13" ht="36" x14ac:dyDescent="0.25">
      <c r="A260" s="1">
        <v>25</v>
      </c>
      <c r="B260" s="60" t="s">
        <v>208</v>
      </c>
      <c r="C260" s="10" t="str">
        <f>"NAR2017-TONERI2"</f>
        <v>NAR2017-TONERI2</v>
      </c>
      <c r="D260" s="56">
        <v>42736</v>
      </c>
      <c r="E260" s="56">
        <v>43008</v>
      </c>
      <c r="F260" s="8">
        <v>46637.31</v>
      </c>
      <c r="G260" s="8">
        <v>58296.639999999999</v>
      </c>
      <c r="H260" s="56">
        <v>43008</v>
      </c>
      <c r="I260" s="24">
        <v>58296.637499999997</v>
      </c>
      <c r="J260" s="24"/>
      <c r="L260"/>
      <c r="M260" s="104"/>
    </row>
    <row r="261" spans="1:13" ht="36" x14ac:dyDescent="0.25">
      <c r="A261" s="1">
        <v>26</v>
      </c>
      <c r="B261" s="60" t="s">
        <v>206</v>
      </c>
      <c r="C261" s="10" t="str">
        <f>"NARUDŽBENICE TONERI GRUPA 2"</f>
        <v>NARUDŽBENICE TONERI GRUPA 2</v>
      </c>
      <c r="D261" s="56">
        <v>42736</v>
      </c>
      <c r="E261" s="56">
        <v>43100</v>
      </c>
      <c r="F261" s="8">
        <v>7200</v>
      </c>
      <c r="G261" s="8">
        <v>9000</v>
      </c>
      <c r="H261" s="56">
        <v>43100</v>
      </c>
      <c r="I261" s="24">
        <v>1707.8999999999999</v>
      </c>
      <c r="J261" s="24"/>
      <c r="L261"/>
      <c r="M261" s="104"/>
    </row>
    <row r="262" spans="1:13" ht="24" x14ac:dyDescent="0.25">
      <c r="A262" s="1">
        <v>27</v>
      </c>
      <c r="B262" s="60" t="s">
        <v>207</v>
      </c>
      <c r="C262" s="10" t="str">
        <f>"NAR 2017 - TONERI 2"</f>
        <v>NAR 2017 - TONERI 2</v>
      </c>
      <c r="D262" s="56">
        <v>42736</v>
      </c>
      <c r="E262" s="56">
        <v>43008</v>
      </c>
      <c r="F262" s="8">
        <v>12038.52</v>
      </c>
      <c r="G262" s="8">
        <v>15048.15</v>
      </c>
      <c r="H262" s="56">
        <v>43008</v>
      </c>
      <c r="I262" s="24">
        <v>15048.150000000001</v>
      </c>
      <c r="J262" s="17"/>
      <c r="L262"/>
      <c r="M262" s="104"/>
    </row>
    <row r="263" spans="1:13" x14ac:dyDescent="0.25">
      <c r="A263" s="1">
        <v>28</v>
      </c>
      <c r="B263" s="60" t="s">
        <v>212</v>
      </c>
      <c r="C263" s="10" t="str">
        <f>"14/2015-2"</f>
        <v>14/2015-2</v>
      </c>
      <c r="D263" s="56">
        <v>42818</v>
      </c>
      <c r="E263" s="56">
        <v>43433</v>
      </c>
      <c r="F263" s="8">
        <v>50000</v>
      </c>
      <c r="G263" s="8">
        <v>62500</v>
      </c>
      <c r="H263" s="56">
        <v>43100</v>
      </c>
      <c r="I263" s="24">
        <v>79640.024999999994</v>
      </c>
      <c r="J263" s="5"/>
      <c r="L263"/>
      <c r="M263" s="104"/>
    </row>
    <row r="264" spans="1:13" x14ac:dyDescent="0.25">
      <c r="A264" s="1">
        <v>29</v>
      </c>
      <c r="B264" s="60" t="s">
        <v>278</v>
      </c>
      <c r="C264" s="10" t="str">
        <f>"190/2016"</f>
        <v>190/2016</v>
      </c>
      <c r="D264" s="56">
        <v>42732</v>
      </c>
      <c r="E264" s="56">
        <v>43433</v>
      </c>
      <c r="F264" s="8">
        <v>156373.43</v>
      </c>
      <c r="G264" s="8">
        <v>195466.79</v>
      </c>
      <c r="H264" s="56">
        <v>43100</v>
      </c>
      <c r="I264" s="103">
        <v>233669.33749999999</v>
      </c>
      <c r="J264" s="5"/>
      <c r="L264"/>
      <c r="M264" s="104"/>
    </row>
    <row r="265" spans="1:13" ht="24" x14ac:dyDescent="0.25">
      <c r="A265" s="1">
        <v>30</v>
      </c>
      <c r="B265" s="60" t="s">
        <v>210</v>
      </c>
      <c r="C265" s="10" t="str">
        <f>"PU-GRUPA 2. - URBR:16-14"</f>
        <v>PU-GRUPA 2. - URBR:16-14</v>
      </c>
      <c r="D265" s="56">
        <v>42717</v>
      </c>
      <c r="E265" s="56">
        <v>43082</v>
      </c>
      <c r="F265" s="8">
        <v>596821.76000000001</v>
      </c>
      <c r="G265" s="8">
        <v>746027.2</v>
      </c>
      <c r="H265" s="56">
        <v>42825</v>
      </c>
      <c r="I265" s="24">
        <v>100942.6875</v>
      </c>
      <c r="J265" s="5"/>
      <c r="L265"/>
      <c r="M265" s="104"/>
    </row>
    <row r="266" spans="1:13" ht="24" x14ac:dyDescent="0.25">
      <c r="A266" s="1">
        <v>31</v>
      </c>
      <c r="B266" s="60" t="s">
        <v>196</v>
      </c>
      <c r="C266" s="10" t="str">
        <f>"MGPU 14/2015-2"</f>
        <v>MGPU 14/2015-2</v>
      </c>
      <c r="D266" s="56">
        <v>42709</v>
      </c>
      <c r="E266" s="56">
        <v>43074</v>
      </c>
      <c r="F266" s="8">
        <v>52452.78</v>
      </c>
      <c r="G266" s="8">
        <v>65565.98</v>
      </c>
      <c r="H266" s="56">
        <v>43074</v>
      </c>
      <c r="I266" s="24">
        <v>15569.625</v>
      </c>
      <c r="J266" s="5"/>
      <c r="L266"/>
      <c r="M266" s="104"/>
    </row>
    <row r="267" spans="1:13" ht="24" x14ac:dyDescent="0.25">
      <c r="A267" s="1">
        <v>32</v>
      </c>
      <c r="B267" s="60" t="s">
        <v>186</v>
      </c>
      <c r="C267" s="10" t="str">
        <f>"406-01/16-01/0192"</f>
        <v>406-01/16-01/0192</v>
      </c>
      <c r="D267" s="56">
        <v>42709</v>
      </c>
      <c r="E267" s="56">
        <v>43073</v>
      </c>
      <c r="F267" s="8">
        <v>5928.46</v>
      </c>
      <c r="G267" s="8">
        <v>7410.58</v>
      </c>
      <c r="H267" s="56">
        <v>43008</v>
      </c>
      <c r="I267" s="24">
        <v>1354.05</v>
      </c>
      <c r="J267" s="5"/>
      <c r="L267"/>
      <c r="M267" s="104"/>
    </row>
    <row r="268" spans="1:13" ht="24" x14ac:dyDescent="0.25">
      <c r="A268" s="1">
        <v>33</v>
      </c>
      <c r="B268" s="60" t="s">
        <v>211</v>
      </c>
      <c r="C268" s="10" t="str">
        <f>"14/2015-CANON"</f>
        <v>14/2015-CANON</v>
      </c>
      <c r="D268" s="56">
        <v>42703</v>
      </c>
      <c r="E268" s="56">
        <v>43433</v>
      </c>
      <c r="F268" s="8">
        <v>1000</v>
      </c>
      <c r="G268" s="8">
        <v>1250</v>
      </c>
      <c r="H268" s="56">
        <v>43100</v>
      </c>
      <c r="I268" s="103">
        <v>966.125</v>
      </c>
      <c r="J268" s="5"/>
      <c r="L268"/>
      <c r="M268" s="104"/>
    </row>
    <row r="269" spans="1:13" ht="24" x14ac:dyDescent="0.25">
      <c r="A269" s="1">
        <v>34</v>
      </c>
      <c r="B269" s="60" t="s">
        <v>279</v>
      </c>
      <c r="C269" s="10" t="str">
        <f>"14/2015-2"</f>
        <v>14/2015-2</v>
      </c>
      <c r="D269" s="56">
        <v>42703</v>
      </c>
      <c r="E269" s="56">
        <v>43433</v>
      </c>
      <c r="F269" s="8">
        <v>0</v>
      </c>
      <c r="G269" s="8">
        <v>0</v>
      </c>
      <c r="H269" s="56">
        <v>43100</v>
      </c>
      <c r="I269" s="103">
        <v>232.5</v>
      </c>
      <c r="J269" s="5"/>
      <c r="L269"/>
      <c r="M269" s="104"/>
    </row>
    <row r="270" spans="1:13" ht="24" x14ac:dyDescent="0.25">
      <c r="A270" s="1">
        <v>35</v>
      </c>
      <c r="B270" s="60" t="s">
        <v>199</v>
      </c>
      <c r="C270" s="10" t="str">
        <f>"14/2015-2-MHB"</f>
        <v>14/2015-2-MHB</v>
      </c>
      <c r="D270" s="56">
        <v>42703</v>
      </c>
      <c r="E270" s="56">
        <v>43433</v>
      </c>
      <c r="F270" s="8">
        <v>15000</v>
      </c>
      <c r="G270" s="8">
        <v>18750</v>
      </c>
      <c r="H270" s="56">
        <v>43100</v>
      </c>
      <c r="I270" s="24">
        <v>16899.637499999997</v>
      </c>
      <c r="J270" s="5"/>
      <c r="L270"/>
      <c r="M270" s="104"/>
    </row>
    <row r="271" spans="1:13" ht="24" x14ac:dyDescent="0.25">
      <c r="A271" s="1">
        <v>36</v>
      </c>
      <c r="B271" s="60" t="s">
        <v>201</v>
      </c>
      <c r="C271" s="10" t="str">
        <f>"14/2015-1-CANON"</f>
        <v>14/2015-1-CANON</v>
      </c>
      <c r="D271" s="56">
        <v>42703</v>
      </c>
      <c r="E271" s="56">
        <v>43433</v>
      </c>
      <c r="F271" s="8">
        <v>11500</v>
      </c>
      <c r="G271" s="8">
        <v>14375</v>
      </c>
      <c r="H271" s="56">
        <v>43100</v>
      </c>
      <c r="I271" s="103">
        <v>5810.9000000000005</v>
      </c>
      <c r="J271" s="5"/>
      <c r="L271"/>
      <c r="M271" s="104"/>
    </row>
    <row r="272" spans="1:13" x14ac:dyDescent="0.25">
      <c r="A272" s="1">
        <v>37</v>
      </c>
      <c r="B272" s="60" t="s">
        <v>16</v>
      </c>
      <c r="C272" s="10" t="str">
        <f>"14/2017"</f>
        <v>14/2017</v>
      </c>
      <c r="D272" s="56">
        <v>42703</v>
      </c>
      <c r="E272" s="56">
        <v>43433</v>
      </c>
      <c r="F272" s="8">
        <v>918</v>
      </c>
      <c r="G272" s="8">
        <v>1147.5</v>
      </c>
      <c r="H272" s="56">
        <v>43100</v>
      </c>
      <c r="I272" s="103">
        <v>1147.5</v>
      </c>
      <c r="J272" s="5"/>
      <c r="L272"/>
      <c r="M272" s="104"/>
    </row>
    <row r="273" spans="1:14" ht="7.5" customHeight="1" x14ac:dyDescent="0.25"/>
    <row r="274" spans="1:14" x14ac:dyDescent="0.25">
      <c r="A274" s="175" t="s">
        <v>41</v>
      </c>
      <c r="B274" s="175"/>
      <c r="C274" s="175"/>
      <c r="D274" s="175"/>
      <c r="E274" s="175"/>
      <c r="F274" s="175"/>
      <c r="G274" s="175"/>
      <c r="H274" s="175"/>
      <c r="I274" s="175"/>
      <c r="J274" s="175"/>
      <c r="K274" s="175"/>
      <c r="L274" s="175"/>
      <c r="M274" s="175"/>
      <c r="N274" s="175"/>
    </row>
    <row r="275" spans="1:14" ht="36" x14ac:dyDescent="0.25">
      <c r="A275" s="53" t="s">
        <v>0</v>
      </c>
      <c r="B275" s="54" t="s">
        <v>1</v>
      </c>
      <c r="C275" s="54" t="s">
        <v>3</v>
      </c>
      <c r="D275" s="178" t="s">
        <v>171</v>
      </c>
      <c r="E275" s="178"/>
      <c r="F275" s="54" t="s">
        <v>166</v>
      </c>
      <c r="G275" s="54" t="s">
        <v>170</v>
      </c>
      <c r="H275" s="54" t="s">
        <v>167</v>
      </c>
      <c r="I275" s="54" t="s">
        <v>4</v>
      </c>
      <c r="J275" s="54" t="s">
        <v>5</v>
      </c>
      <c r="K275" s="54" t="s">
        <v>2</v>
      </c>
      <c r="L275" s="54" t="s">
        <v>172</v>
      </c>
      <c r="M275" s="54" t="s">
        <v>173</v>
      </c>
      <c r="N275" s="54" t="s">
        <v>169</v>
      </c>
    </row>
    <row r="276" spans="1:14" ht="60" customHeight="1" x14ac:dyDescent="0.25">
      <c r="A276" s="1">
        <v>1</v>
      </c>
      <c r="B276" s="4" t="s">
        <v>53</v>
      </c>
      <c r="C276" s="1" t="s">
        <v>76</v>
      </c>
      <c r="D276" s="179" t="s">
        <v>1018</v>
      </c>
      <c r="E276" s="180"/>
      <c r="F276" s="38" t="s">
        <v>99</v>
      </c>
      <c r="G276" s="38" t="s">
        <v>184</v>
      </c>
      <c r="H276" s="1" t="s">
        <v>15</v>
      </c>
      <c r="I276" s="15">
        <v>42600</v>
      </c>
      <c r="J276" s="1" t="s">
        <v>51</v>
      </c>
      <c r="K276" s="8">
        <v>10195395</v>
      </c>
      <c r="L276" s="8">
        <f>K276*0.25</f>
        <v>2548848.75</v>
      </c>
      <c r="M276" s="8">
        <v>12744243.75</v>
      </c>
      <c r="N276" s="176"/>
    </row>
    <row r="277" spans="1:14" ht="15" customHeight="1" x14ac:dyDescent="0.25">
      <c r="A277" s="177" t="s">
        <v>1012</v>
      </c>
      <c r="B277" s="177"/>
      <c r="C277" s="177"/>
      <c r="D277" s="177"/>
      <c r="E277" s="177"/>
      <c r="F277" s="177"/>
      <c r="G277" s="177"/>
      <c r="H277" s="177"/>
      <c r="I277" s="177"/>
      <c r="J277" s="177"/>
      <c r="K277" s="177"/>
      <c r="L277" s="177"/>
      <c r="M277" s="8">
        <v>4049444.68</v>
      </c>
      <c r="N277" s="176"/>
    </row>
    <row r="278" spans="1:14" ht="7.5" customHeight="1" x14ac:dyDescent="0.25"/>
    <row r="279" spans="1:14" ht="15" customHeight="1" x14ac:dyDescent="0.25">
      <c r="A279" s="175" t="s">
        <v>12</v>
      </c>
      <c r="B279" s="175"/>
      <c r="C279" s="175"/>
      <c r="D279" s="175"/>
      <c r="E279" s="175"/>
      <c r="F279" s="175"/>
      <c r="G279" s="175"/>
      <c r="H279" s="175"/>
      <c r="I279" s="175"/>
      <c r="J279" s="175"/>
      <c r="K279" s="49"/>
      <c r="L279" s="49"/>
    </row>
    <row r="280" spans="1:14" ht="48" customHeight="1" x14ac:dyDescent="0.25">
      <c r="A280" s="2" t="s">
        <v>0</v>
      </c>
      <c r="B280" s="3" t="s">
        <v>7</v>
      </c>
      <c r="C280" s="3" t="s">
        <v>6</v>
      </c>
      <c r="D280" s="3" t="s">
        <v>8</v>
      </c>
      <c r="E280" s="3" t="s">
        <v>168</v>
      </c>
      <c r="F280" s="3" t="s">
        <v>174</v>
      </c>
      <c r="G280" s="3" t="s">
        <v>175</v>
      </c>
      <c r="H280" s="3" t="s">
        <v>9</v>
      </c>
      <c r="I280" s="3" t="s">
        <v>176</v>
      </c>
      <c r="J280" s="3" t="s">
        <v>10</v>
      </c>
      <c r="L280"/>
      <c r="M280" s="48"/>
    </row>
    <row r="281" spans="1:14" ht="24" x14ac:dyDescent="0.25">
      <c r="A281" s="1">
        <v>1</v>
      </c>
      <c r="B281" s="172" t="s">
        <v>194</v>
      </c>
      <c r="C281" s="10" t="str">
        <f>"2427/17"</f>
        <v>2427/17</v>
      </c>
      <c r="D281" s="56">
        <v>43075</v>
      </c>
      <c r="E281" s="56">
        <v>43075</v>
      </c>
      <c r="F281" s="8">
        <v>10270</v>
      </c>
      <c r="G281" s="8">
        <v>12837.5</v>
      </c>
      <c r="H281" s="56">
        <v>43100</v>
      </c>
      <c r="I281" s="102">
        <v>12837.5</v>
      </c>
      <c r="J281" s="8"/>
      <c r="L281"/>
      <c r="M281" s="104"/>
    </row>
    <row r="282" spans="1:14" x14ac:dyDescent="0.25">
      <c r="A282" s="1">
        <v>2</v>
      </c>
      <c r="B282" s="172" t="s">
        <v>204</v>
      </c>
      <c r="C282" s="10" t="str">
        <f>"17R0000761"</f>
        <v>17R0000761</v>
      </c>
      <c r="D282" s="56">
        <v>43068</v>
      </c>
      <c r="E282" s="56">
        <v>43082</v>
      </c>
      <c r="F282" s="8">
        <v>3700</v>
      </c>
      <c r="G282" s="8">
        <v>4625</v>
      </c>
      <c r="H282" s="56">
        <v>43082</v>
      </c>
      <c r="I282" s="102">
        <v>4625</v>
      </c>
      <c r="J282" s="8"/>
      <c r="L282"/>
      <c r="M282" s="104"/>
    </row>
    <row r="283" spans="1:14" ht="36" x14ac:dyDescent="0.25">
      <c r="A283" s="1">
        <v>3</v>
      </c>
      <c r="B283" s="172" t="s">
        <v>189</v>
      </c>
      <c r="C283" s="10" t="str">
        <f>"858/2017"</f>
        <v>858/2017</v>
      </c>
      <c r="D283" s="56">
        <v>43055</v>
      </c>
      <c r="E283" s="56">
        <v>43085</v>
      </c>
      <c r="F283" s="8">
        <v>620</v>
      </c>
      <c r="G283" s="8">
        <v>775</v>
      </c>
      <c r="H283" s="56">
        <v>43100</v>
      </c>
      <c r="I283" s="102">
        <v>775</v>
      </c>
      <c r="J283" s="8"/>
      <c r="L283"/>
      <c r="M283" s="104"/>
    </row>
    <row r="284" spans="1:14" x14ac:dyDescent="0.25">
      <c r="A284" s="1">
        <v>4</v>
      </c>
      <c r="B284" s="172" t="s">
        <v>16</v>
      </c>
      <c r="C284" s="10" t="str">
        <f>"273/2017"</f>
        <v>273/2017</v>
      </c>
      <c r="D284" s="56">
        <v>42600</v>
      </c>
      <c r="E284" s="56">
        <v>43330</v>
      </c>
      <c r="F284" s="8">
        <v>520</v>
      </c>
      <c r="G284" s="8">
        <v>650</v>
      </c>
      <c r="H284" s="56">
        <v>43100</v>
      </c>
      <c r="I284" s="102">
        <v>650</v>
      </c>
      <c r="J284" s="8"/>
      <c r="L284"/>
      <c r="M284" s="104"/>
    </row>
    <row r="285" spans="1:14" ht="24" x14ac:dyDescent="0.25">
      <c r="A285" s="1">
        <v>5</v>
      </c>
      <c r="B285" s="172" t="s">
        <v>18</v>
      </c>
      <c r="C285" s="10" t="str">
        <f>"SNUG-202-17-060-3"</f>
        <v>SNUG-202-17-060-3</v>
      </c>
      <c r="D285" s="56">
        <v>43033</v>
      </c>
      <c r="E285" s="56">
        <v>43100</v>
      </c>
      <c r="F285" s="8">
        <v>250836</v>
      </c>
      <c r="G285" s="8">
        <v>313545</v>
      </c>
      <c r="H285" s="56">
        <v>43100</v>
      </c>
      <c r="I285" s="102">
        <v>313545</v>
      </c>
      <c r="J285" s="8"/>
      <c r="L285"/>
      <c r="M285" s="104"/>
    </row>
    <row r="286" spans="1:14" ht="24" x14ac:dyDescent="0.25">
      <c r="A286" s="1">
        <v>6</v>
      </c>
      <c r="B286" s="172" t="s">
        <v>195</v>
      </c>
      <c r="C286" s="10" t="str">
        <f>"KL 406-09/17-04/99 GRUPA 3"</f>
        <v>KL 406-09/17-04/99 GRUPA 3</v>
      </c>
      <c r="D286" s="56">
        <v>43014</v>
      </c>
      <c r="E286" s="56">
        <v>43330</v>
      </c>
      <c r="F286" s="8">
        <v>1256262.5</v>
      </c>
      <c r="G286" s="8">
        <v>1570328.13</v>
      </c>
      <c r="H286" s="56">
        <v>43100</v>
      </c>
      <c r="I286" s="102">
        <v>49578.75</v>
      </c>
      <c r="J286" s="8"/>
      <c r="L286"/>
      <c r="M286" s="104"/>
    </row>
    <row r="287" spans="1:14" ht="24" x14ac:dyDescent="0.25">
      <c r="A287" s="1">
        <v>7</v>
      </c>
      <c r="B287" s="172" t="s">
        <v>196</v>
      </c>
      <c r="C287" s="10" t="str">
        <f>"MGPU 14/2015-3_2"</f>
        <v>MGPU 14/2015-3_2</v>
      </c>
      <c r="D287" s="56">
        <v>43010</v>
      </c>
      <c r="E287" s="56">
        <v>43330</v>
      </c>
      <c r="F287" s="8">
        <v>7205</v>
      </c>
      <c r="G287" s="8">
        <v>9006.25</v>
      </c>
      <c r="H287" s="56">
        <v>43100</v>
      </c>
      <c r="I287" s="102">
        <v>0</v>
      </c>
      <c r="J287" s="8"/>
      <c r="L287"/>
      <c r="M287" s="104"/>
    </row>
    <row r="288" spans="1:14" ht="36" x14ac:dyDescent="0.25">
      <c r="A288" s="1">
        <v>8</v>
      </c>
      <c r="B288" s="172" t="s">
        <v>192</v>
      </c>
      <c r="C288" s="10" t="str">
        <f>"N-772/2017"</f>
        <v>N-772/2017</v>
      </c>
      <c r="D288" s="56">
        <v>43100</v>
      </c>
      <c r="E288" s="56">
        <v>43100</v>
      </c>
      <c r="F288" s="8">
        <v>412.5</v>
      </c>
      <c r="G288" s="8">
        <v>515.63</v>
      </c>
      <c r="H288" s="56">
        <v>43100</v>
      </c>
      <c r="I288" s="102">
        <v>515.625</v>
      </c>
      <c r="J288" s="8"/>
      <c r="L288"/>
      <c r="M288" s="104"/>
    </row>
    <row r="289" spans="1:13" ht="36" x14ac:dyDescent="0.25">
      <c r="A289" s="1">
        <v>9</v>
      </c>
      <c r="B289" s="172" t="s">
        <v>185</v>
      </c>
      <c r="C289" s="10" t="str">
        <f>"14/2015-UGOVOR2017MIZ"</f>
        <v>14/2015-UGOVOR2017MIZ</v>
      </c>
      <c r="D289" s="56">
        <v>43008</v>
      </c>
      <c r="E289" s="56">
        <v>43329</v>
      </c>
      <c r="F289" s="8">
        <v>18507</v>
      </c>
      <c r="G289" s="8">
        <v>23133.75</v>
      </c>
      <c r="H289" s="56">
        <v>43100</v>
      </c>
      <c r="I289" s="102">
        <v>19327.237500000003</v>
      </c>
      <c r="J289" s="24"/>
      <c r="L289"/>
      <c r="M289" s="104"/>
    </row>
    <row r="290" spans="1:13" ht="24" x14ac:dyDescent="0.25">
      <c r="A290" s="1">
        <v>10</v>
      </c>
      <c r="B290" s="172" t="s">
        <v>186</v>
      </c>
      <c r="C290" s="10" t="str">
        <f>"532-02-02-02/4-17-04"</f>
        <v>532-02-02-02/4-17-04</v>
      </c>
      <c r="D290" s="56">
        <v>42996</v>
      </c>
      <c r="E290" s="56">
        <v>43365</v>
      </c>
      <c r="F290" s="8">
        <v>146693</v>
      </c>
      <c r="G290" s="8">
        <v>183366.25</v>
      </c>
      <c r="H290" s="56">
        <v>43008</v>
      </c>
      <c r="I290" s="102">
        <v>0</v>
      </c>
      <c r="J290" s="24"/>
      <c r="L290"/>
      <c r="M290" s="104"/>
    </row>
    <row r="291" spans="1:13" ht="36" x14ac:dyDescent="0.25">
      <c r="A291" s="1">
        <v>11</v>
      </c>
      <c r="B291" s="172" t="s">
        <v>189</v>
      </c>
      <c r="C291" s="10" t="str">
        <f>"591/2017"</f>
        <v>591/2017</v>
      </c>
      <c r="D291" s="56">
        <v>42997</v>
      </c>
      <c r="E291" s="56">
        <v>43027</v>
      </c>
      <c r="F291" s="8">
        <v>330</v>
      </c>
      <c r="G291" s="8">
        <v>412.5</v>
      </c>
      <c r="H291" s="56">
        <v>43100</v>
      </c>
      <c r="I291" s="102">
        <v>412.5</v>
      </c>
      <c r="J291" s="24"/>
      <c r="L291"/>
      <c r="M291" s="104"/>
    </row>
    <row r="292" spans="1:13" ht="24" x14ac:dyDescent="0.25">
      <c r="A292" s="1">
        <v>12</v>
      </c>
      <c r="B292" s="172" t="s">
        <v>203</v>
      </c>
      <c r="C292" s="10" t="str">
        <f>"U-19-MV/17"</f>
        <v>U-19-MV/17</v>
      </c>
      <c r="D292" s="56">
        <v>42983</v>
      </c>
      <c r="E292" s="56">
        <v>43330</v>
      </c>
      <c r="F292" s="8">
        <v>273835</v>
      </c>
      <c r="G292" s="8">
        <v>342293.75</v>
      </c>
      <c r="H292" s="56">
        <v>43100</v>
      </c>
      <c r="I292" s="102">
        <v>30693</v>
      </c>
      <c r="J292" s="24"/>
      <c r="L292"/>
      <c r="M292" s="104"/>
    </row>
    <row r="293" spans="1:13" x14ac:dyDescent="0.25">
      <c r="A293" s="1">
        <v>13</v>
      </c>
      <c r="B293" s="172" t="s">
        <v>198</v>
      </c>
      <c r="C293" s="10" t="str">
        <f>"P/15209558"</f>
        <v>P/15209558</v>
      </c>
      <c r="D293" s="56">
        <v>42975</v>
      </c>
      <c r="E293" s="56">
        <v>43330</v>
      </c>
      <c r="F293" s="8">
        <v>2273980</v>
      </c>
      <c r="G293" s="8">
        <v>2842475</v>
      </c>
      <c r="H293" s="56">
        <v>43100</v>
      </c>
      <c r="I293" s="102">
        <v>495306.25</v>
      </c>
      <c r="J293" s="24"/>
      <c r="L293"/>
      <c r="M293" s="104"/>
    </row>
    <row r="294" spans="1:13" ht="24" x14ac:dyDescent="0.25">
      <c r="A294" s="1">
        <v>14</v>
      </c>
      <c r="B294" s="172" t="s">
        <v>194</v>
      </c>
      <c r="C294" s="10" t="str">
        <f>"2283/17"</f>
        <v>2283/17</v>
      </c>
      <c r="D294" s="56">
        <v>42970</v>
      </c>
      <c r="E294" s="56">
        <v>42970</v>
      </c>
      <c r="F294" s="8">
        <v>21717</v>
      </c>
      <c r="G294" s="8">
        <v>27146.25</v>
      </c>
      <c r="H294" s="56">
        <v>43008</v>
      </c>
      <c r="I294" s="102">
        <v>27146.25</v>
      </c>
      <c r="J294" s="24"/>
      <c r="L294"/>
      <c r="M294" s="104"/>
    </row>
    <row r="295" spans="1:13" ht="24" x14ac:dyDescent="0.25">
      <c r="A295" s="1">
        <v>15</v>
      </c>
      <c r="B295" s="172" t="s">
        <v>18</v>
      </c>
      <c r="C295" s="10" t="str">
        <f>"SNUG-202-170047-3"</f>
        <v>SNUG-202-170047-3</v>
      </c>
      <c r="D295" s="56">
        <v>42914</v>
      </c>
      <c r="E295" s="56">
        <v>43008</v>
      </c>
      <c r="F295" s="8">
        <v>234050</v>
      </c>
      <c r="G295" s="8">
        <v>292562.5</v>
      </c>
      <c r="H295" s="56">
        <v>43008</v>
      </c>
      <c r="I295" s="102">
        <v>292562.5</v>
      </c>
      <c r="J295" s="24"/>
      <c r="L295"/>
      <c r="M295" s="104"/>
    </row>
    <row r="296" spans="1:13" ht="36" x14ac:dyDescent="0.25">
      <c r="A296" s="1">
        <v>16</v>
      </c>
      <c r="B296" s="172" t="s">
        <v>189</v>
      </c>
      <c r="C296" s="10" t="str">
        <f>"387/2017"</f>
        <v>387/2017</v>
      </c>
      <c r="D296" s="56">
        <v>42899</v>
      </c>
      <c r="E296" s="56">
        <v>42929</v>
      </c>
      <c r="F296" s="8">
        <v>330</v>
      </c>
      <c r="G296" s="8">
        <v>412.5</v>
      </c>
      <c r="H296" s="56">
        <v>43008</v>
      </c>
      <c r="I296" s="102">
        <v>412.5</v>
      </c>
      <c r="J296" s="24"/>
      <c r="L296"/>
      <c r="M296" s="104"/>
    </row>
    <row r="297" spans="1:13" ht="36" x14ac:dyDescent="0.25">
      <c r="A297" s="1">
        <v>17</v>
      </c>
      <c r="B297" s="172" t="s">
        <v>189</v>
      </c>
      <c r="C297" s="10" t="str">
        <f>"373/2017"</f>
        <v>373/2017</v>
      </c>
      <c r="D297" s="56">
        <v>42894</v>
      </c>
      <c r="E297" s="56">
        <v>42924</v>
      </c>
      <c r="F297" s="8">
        <v>3720</v>
      </c>
      <c r="G297" s="8">
        <v>4650</v>
      </c>
      <c r="H297" s="56">
        <v>43008</v>
      </c>
      <c r="I297" s="102">
        <v>4650</v>
      </c>
      <c r="J297" s="24"/>
      <c r="L297"/>
      <c r="M297" s="104"/>
    </row>
    <row r="298" spans="1:13" ht="24" x14ac:dyDescent="0.25">
      <c r="A298" s="1">
        <v>18</v>
      </c>
      <c r="B298" s="172" t="s">
        <v>18</v>
      </c>
      <c r="C298" s="10" t="str">
        <f>"SNUG-202-17-031-3"</f>
        <v>SNUG-202-17-031-3</v>
      </c>
      <c r="D298" s="56">
        <v>42849</v>
      </c>
      <c r="E298" s="56">
        <v>42916</v>
      </c>
      <c r="F298" s="8">
        <v>273665</v>
      </c>
      <c r="G298" s="8">
        <v>342081.25</v>
      </c>
      <c r="H298" s="56">
        <v>42916</v>
      </c>
      <c r="I298" s="102">
        <v>342081.25</v>
      </c>
      <c r="J298" s="24"/>
      <c r="L298"/>
      <c r="M298" s="104"/>
    </row>
    <row r="299" spans="1:13" ht="24" x14ac:dyDescent="0.25">
      <c r="A299" s="1">
        <v>19</v>
      </c>
      <c r="B299" s="172" t="s">
        <v>194</v>
      </c>
      <c r="C299" s="10" t="str">
        <f>"2125/17"</f>
        <v>2125/17</v>
      </c>
      <c r="D299" s="56">
        <v>42844</v>
      </c>
      <c r="E299" s="56">
        <v>42844</v>
      </c>
      <c r="F299" s="8">
        <v>5465</v>
      </c>
      <c r="G299" s="8">
        <v>6831.25</v>
      </c>
      <c r="H299" s="56">
        <v>42844</v>
      </c>
      <c r="I299" s="102">
        <v>6831.25</v>
      </c>
      <c r="J299" s="24"/>
      <c r="L299"/>
      <c r="M299" s="104"/>
    </row>
    <row r="300" spans="1:13" ht="36" x14ac:dyDescent="0.25">
      <c r="A300" s="1">
        <v>20</v>
      </c>
      <c r="B300" s="172" t="s">
        <v>189</v>
      </c>
      <c r="C300" s="10" t="str">
        <f>"230/2017"</f>
        <v>230/2017</v>
      </c>
      <c r="D300" s="56">
        <v>42836</v>
      </c>
      <c r="E300" s="56">
        <v>42866</v>
      </c>
      <c r="F300" s="8">
        <v>165</v>
      </c>
      <c r="G300" s="8">
        <v>206.25</v>
      </c>
      <c r="H300" s="56">
        <v>42916</v>
      </c>
      <c r="I300" s="102">
        <v>412.5</v>
      </c>
      <c r="J300" s="24"/>
      <c r="L300"/>
      <c r="M300" s="104"/>
    </row>
    <row r="301" spans="1:13" ht="36" x14ac:dyDescent="0.25">
      <c r="A301" s="1">
        <v>21</v>
      </c>
      <c r="B301" s="172" t="s">
        <v>188</v>
      </c>
      <c r="C301" s="10" t="str">
        <f>"37-2017"</f>
        <v>37-2017</v>
      </c>
      <c r="D301" s="56">
        <v>42835</v>
      </c>
      <c r="E301" s="56">
        <v>42835</v>
      </c>
      <c r="F301" s="8">
        <v>1860</v>
      </c>
      <c r="G301" s="8">
        <v>2325</v>
      </c>
      <c r="H301" s="56">
        <v>42916</v>
      </c>
      <c r="I301" s="102">
        <v>2325</v>
      </c>
      <c r="J301" s="24"/>
      <c r="L301"/>
      <c r="M301" s="104"/>
    </row>
    <row r="302" spans="1:13" x14ac:dyDescent="0.25">
      <c r="A302" s="1">
        <v>22</v>
      </c>
      <c r="B302" s="172" t="s">
        <v>204</v>
      </c>
      <c r="C302" s="10" t="str">
        <f>"17R0000257"</f>
        <v>17R0000257</v>
      </c>
      <c r="D302" s="56">
        <v>42831</v>
      </c>
      <c r="E302" s="56">
        <v>42849</v>
      </c>
      <c r="F302" s="8">
        <v>890</v>
      </c>
      <c r="G302" s="8">
        <v>1112.5</v>
      </c>
      <c r="H302" s="56">
        <v>42849</v>
      </c>
      <c r="I302" s="102">
        <v>1112.5</v>
      </c>
      <c r="J302" s="24"/>
      <c r="L302"/>
      <c r="M302" s="104"/>
    </row>
    <row r="303" spans="1:13" ht="24" x14ac:dyDescent="0.25">
      <c r="A303" s="1">
        <v>23</v>
      </c>
      <c r="B303" s="172" t="s">
        <v>191</v>
      </c>
      <c r="C303" s="10" t="str">
        <f>"MFIN-NARUDŽ."</f>
        <v>MFIN-NARUDŽ.</v>
      </c>
      <c r="D303" s="56">
        <v>42826</v>
      </c>
      <c r="E303" s="56">
        <v>42916</v>
      </c>
      <c r="F303" s="8">
        <v>5995</v>
      </c>
      <c r="G303" s="8">
        <v>7493.75</v>
      </c>
      <c r="H303" s="56">
        <v>42916</v>
      </c>
      <c r="I303" s="102">
        <v>7493.75</v>
      </c>
      <c r="J303" s="24"/>
      <c r="L303"/>
      <c r="M303" s="104"/>
    </row>
    <row r="304" spans="1:13" ht="24" x14ac:dyDescent="0.25">
      <c r="A304" s="1">
        <v>24</v>
      </c>
      <c r="B304" s="172" t="s">
        <v>187</v>
      </c>
      <c r="C304" s="10" t="str">
        <f>"802/01-16/05OS-3-U2"</f>
        <v>802/01-16/05OS-3-U2</v>
      </c>
      <c r="D304" s="56">
        <v>42802</v>
      </c>
      <c r="E304" s="56">
        <v>43100</v>
      </c>
      <c r="F304" s="8">
        <v>3720</v>
      </c>
      <c r="G304" s="8">
        <v>4650</v>
      </c>
      <c r="H304" s="56">
        <v>42916</v>
      </c>
      <c r="I304" s="102">
        <v>4856.25</v>
      </c>
      <c r="J304" s="24"/>
      <c r="L304"/>
      <c r="M304" s="104"/>
    </row>
    <row r="305" spans="1:13" ht="24" x14ac:dyDescent="0.25">
      <c r="A305" s="1">
        <v>25</v>
      </c>
      <c r="B305" s="172" t="s">
        <v>197</v>
      </c>
      <c r="C305" s="10" t="str">
        <f>"N061/2017LR"</f>
        <v>N061/2017LR</v>
      </c>
      <c r="D305" s="56">
        <v>42795</v>
      </c>
      <c r="E305" s="56">
        <v>42825</v>
      </c>
      <c r="F305" s="8">
        <v>1780</v>
      </c>
      <c r="G305" s="8">
        <v>2225</v>
      </c>
      <c r="H305" s="56">
        <v>42825</v>
      </c>
      <c r="I305" s="102">
        <v>2225</v>
      </c>
      <c r="J305" s="24"/>
      <c r="L305"/>
      <c r="M305" s="104"/>
    </row>
    <row r="306" spans="1:13" ht="36" x14ac:dyDescent="0.25">
      <c r="A306" s="1">
        <v>26</v>
      </c>
      <c r="B306" s="172" t="s">
        <v>189</v>
      </c>
      <c r="C306" s="10" t="str">
        <f>"124/2017"</f>
        <v>124/2017</v>
      </c>
      <c r="D306" s="56">
        <v>42794</v>
      </c>
      <c r="E306" s="56">
        <v>42822</v>
      </c>
      <c r="F306" s="8">
        <v>330</v>
      </c>
      <c r="G306" s="8">
        <v>412.5</v>
      </c>
      <c r="H306" s="56">
        <v>42825</v>
      </c>
      <c r="I306" s="102">
        <v>412.5</v>
      </c>
      <c r="J306" s="24"/>
      <c r="L306"/>
      <c r="M306" s="104"/>
    </row>
    <row r="307" spans="1:13" ht="24" x14ac:dyDescent="0.25">
      <c r="A307" s="1">
        <v>27</v>
      </c>
      <c r="B307" s="172" t="s">
        <v>199</v>
      </c>
      <c r="C307" s="10" t="str">
        <f>"14-2015-3-MHB"</f>
        <v>14-2015-3-MHB</v>
      </c>
      <c r="D307" s="56">
        <v>42789</v>
      </c>
      <c r="E307" s="56">
        <v>43100</v>
      </c>
      <c r="F307" s="8">
        <v>113722</v>
      </c>
      <c r="G307" s="8">
        <v>142152.5</v>
      </c>
      <c r="H307" s="56">
        <v>43100</v>
      </c>
      <c r="I307" s="102">
        <v>2362.5</v>
      </c>
      <c r="J307" s="24"/>
      <c r="L307"/>
      <c r="M307" s="104"/>
    </row>
    <row r="308" spans="1:13" ht="24" x14ac:dyDescent="0.25">
      <c r="A308" s="1">
        <v>28</v>
      </c>
      <c r="B308" s="172" t="s">
        <v>194</v>
      </c>
      <c r="C308" s="10" t="str">
        <f>"2076/17"</f>
        <v>2076/17</v>
      </c>
      <c r="D308" s="56">
        <v>42789</v>
      </c>
      <c r="E308" s="56">
        <v>42789</v>
      </c>
      <c r="F308" s="8">
        <v>2475</v>
      </c>
      <c r="G308" s="8">
        <v>3093.75</v>
      </c>
      <c r="H308" s="56">
        <v>42789</v>
      </c>
      <c r="I308" s="102">
        <v>3093.75</v>
      </c>
      <c r="J308" s="24"/>
      <c r="L308"/>
      <c r="M308" s="104"/>
    </row>
    <row r="309" spans="1:13" ht="24" x14ac:dyDescent="0.25">
      <c r="A309" s="1">
        <v>29</v>
      </c>
      <c r="B309" s="172" t="s">
        <v>18</v>
      </c>
      <c r="C309" s="10" t="str">
        <f>"SNUG-202-17-015-3"</f>
        <v>SNUG-202-17-015-3</v>
      </c>
      <c r="D309" s="56">
        <v>42788</v>
      </c>
      <c r="E309" s="56">
        <v>42825</v>
      </c>
      <c r="F309" s="8">
        <v>167930</v>
      </c>
      <c r="G309" s="8">
        <v>209912.5</v>
      </c>
      <c r="H309" s="56">
        <v>42825</v>
      </c>
      <c r="I309" s="102">
        <v>209912.5</v>
      </c>
      <c r="J309" s="24"/>
      <c r="L309"/>
      <c r="M309" s="104"/>
    </row>
    <row r="310" spans="1:13" ht="24" x14ac:dyDescent="0.25">
      <c r="A310" s="1">
        <v>30</v>
      </c>
      <c r="B310" s="172" t="s">
        <v>205</v>
      </c>
      <c r="C310" s="10" t="str">
        <f>"MRMS-LEXMARK-2017"</f>
        <v>MRMS-LEXMARK-2017</v>
      </c>
      <c r="D310" s="56">
        <v>42774</v>
      </c>
      <c r="E310" s="56">
        <v>43100</v>
      </c>
      <c r="F310" s="8">
        <v>94000</v>
      </c>
      <c r="G310" s="8">
        <v>117500</v>
      </c>
      <c r="H310" s="56">
        <v>43100</v>
      </c>
      <c r="I310" s="102">
        <v>102420</v>
      </c>
      <c r="J310" s="24"/>
      <c r="L310"/>
      <c r="M310" s="104"/>
    </row>
    <row r="311" spans="1:13" ht="36" x14ac:dyDescent="0.25">
      <c r="A311" s="1">
        <v>31</v>
      </c>
      <c r="B311" s="172" t="s">
        <v>97</v>
      </c>
      <c r="C311" s="10" t="str">
        <f>"519-02-3/1-17-22"</f>
        <v>519-02-3/1-17-22</v>
      </c>
      <c r="D311" s="56">
        <v>42762</v>
      </c>
      <c r="E311" s="56">
        <v>43100</v>
      </c>
      <c r="F311" s="8">
        <v>143400</v>
      </c>
      <c r="G311" s="8">
        <v>179250</v>
      </c>
      <c r="H311" s="56">
        <v>43012</v>
      </c>
      <c r="I311" s="102">
        <v>159875</v>
      </c>
      <c r="J311" s="24"/>
      <c r="L311"/>
      <c r="M311" s="104"/>
    </row>
    <row r="312" spans="1:13" ht="24" x14ac:dyDescent="0.25">
      <c r="A312" s="1">
        <v>32</v>
      </c>
      <c r="B312" s="172" t="s">
        <v>194</v>
      </c>
      <c r="C312" s="10" t="str">
        <f>"2044/17"</f>
        <v>2044/17</v>
      </c>
      <c r="D312" s="56">
        <v>42755</v>
      </c>
      <c r="E312" s="56">
        <v>42755</v>
      </c>
      <c r="F312" s="8">
        <v>3800</v>
      </c>
      <c r="G312" s="8">
        <v>4750</v>
      </c>
      <c r="H312" s="56">
        <v>42755</v>
      </c>
      <c r="I312" s="102">
        <v>4750</v>
      </c>
      <c r="J312" s="24"/>
      <c r="L312"/>
      <c r="M312" s="104"/>
    </row>
    <row r="313" spans="1:13" ht="24" x14ac:dyDescent="0.25">
      <c r="A313" s="1">
        <v>33</v>
      </c>
      <c r="B313" s="172" t="s">
        <v>194</v>
      </c>
      <c r="C313" s="10" t="str">
        <f>"2042/17"</f>
        <v>2042/17</v>
      </c>
      <c r="D313" s="56">
        <v>42753</v>
      </c>
      <c r="E313" s="56">
        <v>42783</v>
      </c>
      <c r="F313" s="8">
        <v>1424</v>
      </c>
      <c r="G313" s="8">
        <v>1780</v>
      </c>
      <c r="H313" s="56">
        <v>43100</v>
      </c>
      <c r="I313" s="102">
        <v>1780</v>
      </c>
      <c r="J313" s="24"/>
      <c r="L313"/>
      <c r="M313" s="104"/>
    </row>
    <row r="314" spans="1:13" ht="24" x14ac:dyDescent="0.25">
      <c r="A314" s="1">
        <v>34</v>
      </c>
      <c r="B314" s="172" t="s">
        <v>194</v>
      </c>
      <c r="C314" s="10" t="str">
        <f>"2023/17"</f>
        <v>2023/17</v>
      </c>
      <c r="D314" s="56">
        <v>42748</v>
      </c>
      <c r="E314" s="56">
        <v>42747</v>
      </c>
      <c r="F314" s="8">
        <v>2846.4</v>
      </c>
      <c r="G314" s="8">
        <v>3558</v>
      </c>
      <c r="H314" s="56">
        <v>42767</v>
      </c>
      <c r="I314" s="102">
        <v>3558</v>
      </c>
      <c r="J314" s="24"/>
      <c r="L314"/>
      <c r="M314" s="104"/>
    </row>
    <row r="315" spans="1:13" ht="36" x14ac:dyDescent="0.25">
      <c r="A315" s="1">
        <v>35</v>
      </c>
      <c r="B315" s="172" t="s">
        <v>189</v>
      </c>
      <c r="C315" s="10" t="str">
        <f>"13/2017"</f>
        <v>13/2017</v>
      </c>
      <c r="D315" s="56">
        <v>42747</v>
      </c>
      <c r="E315" s="56">
        <v>42778</v>
      </c>
      <c r="F315" s="8">
        <v>165</v>
      </c>
      <c r="G315" s="8">
        <v>206.25</v>
      </c>
      <c r="H315" s="56">
        <v>42825</v>
      </c>
      <c r="I315" s="102">
        <v>206.25</v>
      </c>
      <c r="J315" s="24"/>
      <c r="L315"/>
      <c r="M315" s="104"/>
    </row>
    <row r="316" spans="1:13" ht="36" x14ac:dyDescent="0.25">
      <c r="A316" s="1">
        <v>36</v>
      </c>
      <c r="B316" s="172" t="s">
        <v>202</v>
      </c>
      <c r="C316" s="10" t="str">
        <f>"INGPRO-LEXMARK 234/16"</f>
        <v>INGPRO-LEXMARK 234/16</v>
      </c>
      <c r="D316" s="56">
        <v>42737</v>
      </c>
      <c r="E316" s="56">
        <v>42740</v>
      </c>
      <c r="F316" s="8">
        <v>3395</v>
      </c>
      <c r="G316" s="8">
        <v>4243.75</v>
      </c>
      <c r="H316" s="56">
        <v>42825</v>
      </c>
      <c r="I316" s="102">
        <v>4243.75</v>
      </c>
      <c r="J316" s="24"/>
      <c r="L316"/>
      <c r="M316" s="104"/>
    </row>
    <row r="317" spans="1:13" ht="36" x14ac:dyDescent="0.25">
      <c r="A317" s="1">
        <v>37</v>
      </c>
      <c r="B317" s="172" t="s">
        <v>192</v>
      </c>
      <c r="C317" s="10" t="str">
        <f>"N19,68/2017"</f>
        <v>N19,68/2017</v>
      </c>
      <c r="D317" s="56">
        <v>42740</v>
      </c>
      <c r="E317" s="56">
        <v>42766</v>
      </c>
      <c r="F317" s="8">
        <v>1365</v>
      </c>
      <c r="G317" s="8">
        <v>1706.25</v>
      </c>
      <c r="H317" s="56">
        <v>42825</v>
      </c>
      <c r="I317" s="102">
        <v>1706.25</v>
      </c>
      <c r="J317" s="24"/>
      <c r="L317"/>
      <c r="M317" s="104"/>
    </row>
    <row r="318" spans="1:13" x14ac:dyDescent="0.25">
      <c r="A318" s="1">
        <v>38</v>
      </c>
      <c r="B318" s="172" t="s">
        <v>212</v>
      </c>
      <c r="C318" s="10" t="str">
        <f>"14/2015- 3"</f>
        <v>14/2015- 3</v>
      </c>
      <c r="D318" s="56">
        <v>42600</v>
      </c>
      <c r="E318" s="56">
        <v>43330</v>
      </c>
      <c r="F318" s="8">
        <v>10000</v>
      </c>
      <c r="G318" s="8">
        <v>12500</v>
      </c>
      <c r="H318" s="56">
        <v>43100</v>
      </c>
      <c r="I318" s="102">
        <v>4564.1000000000004</v>
      </c>
      <c r="J318" s="24"/>
      <c r="L318"/>
      <c r="M318" s="104"/>
    </row>
    <row r="319" spans="1:13" ht="36" x14ac:dyDescent="0.25">
      <c r="A319" s="1">
        <v>39</v>
      </c>
      <c r="B319" s="172" t="s">
        <v>206</v>
      </c>
      <c r="C319" s="10" t="str">
        <f>"NARUDŽBENICE TONERI GRUPA 3"</f>
        <v>NARUDŽBENICE TONERI GRUPA 3</v>
      </c>
      <c r="D319" s="56">
        <v>42736</v>
      </c>
      <c r="E319" s="56">
        <v>43100</v>
      </c>
      <c r="F319" s="8">
        <v>800</v>
      </c>
      <c r="G319" s="8">
        <v>1000</v>
      </c>
      <c r="H319" s="56">
        <v>43100</v>
      </c>
      <c r="I319" s="102">
        <v>1587.5</v>
      </c>
      <c r="J319" s="24"/>
      <c r="L319"/>
      <c r="M319" s="104"/>
    </row>
    <row r="320" spans="1:13" ht="36" x14ac:dyDescent="0.25">
      <c r="A320" s="1">
        <v>40</v>
      </c>
      <c r="B320" s="172" t="s">
        <v>208</v>
      </c>
      <c r="C320" s="10" t="str">
        <f>"NAR2017 - TONERI 3"</f>
        <v>NAR2017 - TONERI 3</v>
      </c>
      <c r="D320" s="56">
        <v>42736</v>
      </c>
      <c r="E320" s="56">
        <v>43008</v>
      </c>
      <c r="F320" s="8">
        <v>5461.05</v>
      </c>
      <c r="G320" s="8">
        <v>6826.31</v>
      </c>
      <c r="H320" s="56">
        <v>43008</v>
      </c>
      <c r="I320" s="102">
        <v>6826.3125</v>
      </c>
      <c r="J320" s="24"/>
      <c r="L320"/>
      <c r="M320" s="104"/>
    </row>
    <row r="321" spans="1:14" ht="24" x14ac:dyDescent="0.25">
      <c r="A321" s="1">
        <v>41</v>
      </c>
      <c r="B321" s="172" t="s">
        <v>207</v>
      </c>
      <c r="C321" s="10" t="str">
        <f>"NAR 2017 - TONERI 3"</f>
        <v>NAR 2017 - TONERI 3</v>
      </c>
      <c r="D321" s="56">
        <v>42736</v>
      </c>
      <c r="E321" s="56">
        <v>43008</v>
      </c>
      <c r="F321" s="8">
        <v>31080</v>
      </c>
      <c r="G321" s="8">
        <v>38850</v>
      </c>
      <c r="H321" s="56">
        <v>43008</v>
      </c>
      <c r="I321" s="102">
        <v>38850</v>
      </c>
      <c r="J321" s="24"/>
      <c r="L321"/>
      <c r="M321" s="104"/>
    </row>
    <row r="322" spans="1:14" x14ac:dyDescent="0.25">
      <c r="A322" s="1">
        <v>42</v>
      </c>
      <c r="B322" s="172" t="s">
        <v>17</v>
      </c>
      <c r="C322" s="10" t="str">
        <f>"14-DUSJN/16-3"</f>
        <v>14-DUSJN/16-3</v>
      </c>
      <c r="D322" s="56">
        <v>42671</v>
      </c>
      <c r="E322" s="56">
        <v>43036</v>
      </c>
      <c r="F322" s="8">
        <v>199485</v>
      </c>
      <c r="G322" s="8">
        <v>249356.25</v>
      </c>
      <c r="H322" s="56">
        <v>43036</v>
      </c>
      <c r="I322" s="102">
        <v>100436.4375</v>
      </c>
      <c r="J322" s="24"/>
      <c r="L322"/>
      <c r="M322" s="104"/>
    </row>
    <row r="323" spans="1:14" ht="24" x14ac:dyDescent="0.25">
      <c r="A323" s="1">
        <v>43</v>
      </c>
      <c r="B323" s="172" t="s">
        <v>187</v>
      </c>
      <c r="C323" s="10" t="str">
        <f>"802/01-16/05OS-3-U1"</f>
        <v>802/01-16/05OS-3-U1</v>
      </c>
      <c r="D323" s="56">
        <v>42670</v>
      </c>
      <c r="E323" s="56">
        <v>43100</v>
      </c>
      <c r="F323" s="8">
        <v>7440</v>
      </c>
      <c r="G323" s="8">
        <v>9300</v>
      </c>
      <c r="H323" s="56">
        <v>42916</v>
      </c>
      <c r="I323" s="102">
        <v>6417.5</v>
      </c>
      <c r="J323" s="24"/>
      <c r="L323"/>
      <c r="M323" s="104"/>
    </row>
    <row r="324" spans="1:14" ht="24" x14ac:dyDescent="0.25">
      <c r="A324" s="1">
        <v>44</v>
      </c>
      <c r="B324" s="172" t="s">
        <v>195</v>
      </c>
      <c r="C324" s="10" t="str">
        <f>"61003-1/2016 GRUPA 3"</f>
        <v>61003-1/2016 GRUPA 3</v>
      </c>
      <c r="D324" s="56">
        <v>42657</v>
      </c>
      <c r="E324" s="56">
        <v>43022</v>
      </c>
      <c r="F324" s="8">
        <v>1005010</v>
      </c>
      <c r="G324" s="8">
        <v>1256262.5</v>
      </c>
      <c r="H324" s="56">
        <v>43022</v>
      </c>
      <c r="I324" s="102">
        <v>172677.5</v>
      </c>
      <c r="J324" s="24"/>
      <c r="L324"/>
      <c r="M324" s="104"/>
    </row>
    <row r="325" spans="1:14" ht="24" x14ac:dyDescent="0.25">
      <c r="A325" s="1">
        <v>45</v>
      </c>
      <c r="B325" s="172" t="s">
        <v>185</v>
      </c>
      <c r="C325" s="10" t="str">
        <f>"14/2015-3 UGOVOR"</f>
        <v>14/2015-3 UGOVOR</v>
      </c>
      <c r="D325" s="56">
        <v>42642</v>
      </c>
      <c r="E325" s="56">
        <v>43007</v>
      </c>
      <c r="F325" s="8">
        <v>22195</v>
      </c>
      <c r="G325" s="8">
        <v>27743.75</v>
      </c>
      <c r="H325" s="56">
        <v>43007</v>
      </c>
      <c r="I325" s="102">
        <v>47873.537500000006</v>
      </c>
      <c r="J325" s="24"/>
      <c r="L325"/>
      <c r="M325" s="104"/>
    </row>
    <row r="326" spans="1:14" ht="24" x14ac:dyDescent="0.25">
      <c r="A326" s="1">
        <v>46</v>
      </c>
      <c r="B326" s="172" t="s">
        <v>193</v>
      </c>
      <c r="C326" s="10" t="str">
        <f>"45-4-16-1"</f>
        <v>45-4-16-1</v>
      </c>
      <c r="D326" s="56">
        <v>42639</v>
      </c>
      <c r="E326" s="56">
        <v>43330</v>
      </c>
      <c r="F326" s="8">
        <v>87145</v>
      </c>
      <c r="G326" s="8">
        <v>108931.25</v>
      </c>
      <c r="H326" s="56">
        <v>43100</v>
      </c>
      <c r="I326" s="102">
        <v>3252.5</v>
      </c>
      <c r="J326" s="24"/>
      <c r="L326"/>
      <c r="M326" s="104"/>
    </row>
    <row r="327" spans="1:14" ht="24" x14ac:dyDescent="0.25">
      <c r="A327" s="1">
        <v>47</v>
      </c>
      <c r="B327" s="172" t="s">
        <v>186</v>
      </c>
      <c r="C327" s="10" t="str">
        <f>"406-01/16-01-0144"</f>
        <v>406-01/16-01-0144</v>
      </c>
      <c r="D327" s="56">
        <v>42773</v>
      </c>
      <c r="E327" s="56">
        <v>42999</v>
      </c>
      <c r="F327" s="8">
        <v>146693</v>
      </c>
      <c r="G327" s="8">
        <v>183366.25</v>
      </c>
      <c r="H327" s="56">
        <v>42999</v>
      </c>
      <c r="I327" s="105">
        <v>43031.25</v>
      </c>
      <c r="J327" s="61"/>
      <c r="L327"/>
      <c r="M327" s="104"/>
    </row>
    <row r="328" spans="1:14" ht="24" x14ac:dyDescent="0.25">
      <c r="A328" s="1">
        <v>48</v>
      </c>
      <c r="B328" s="172" t="s">
        <v>196</v>
      </c>
      <c r="C328" s="10" t="str">
        <f>"MGPU 14/2015-3"</f>
        <v>MGPU 14/2015-3</v>
      </c>
      <c r="D328" s="56">
        <v>42633</v>
      </c>
      <c r="E328" s="56">
        <v>42998</v>
      </c>
      <c r="F328" s="8">
        <v>7205</v>
      </c>
      <c r="G328" s="8">
        <v>9006.25</v>
      </c>
      <c r="H328" s="56">
        <v>42998</v>
      </c>
      <c r="I328" s="103">
        <v>303.75</v>
      </c>
      <c r="J328" s="37"/>
      <c r="L328"/>
      <c r="M328" s="104"/>
    </row>
    <row r="329" spans="1:14" ht="24" x14ac:dyDescent="0.25">
      <c r="A329" s="1">
        <v>49</v>
      </c>
      <c r="B329" s="172" t="s">
        <v>210</v>
      </c>
      <c r="C329" s="10" t="str">
        <f>"PU - GRUPA 3-URBR:16-3"</f>
        <v>PU - GRUPA 3-URBR:16-3</v>
      </c>
      <c r="D329" s="56">
        <v>42626</v>
      </c>
      <c r="E329" s="56">
        <v>42991</v>
      </c>
      <c r="F329" s="8">
        <v>66100</v>
      </c>
      <c r="G329" s="8">
        <v>82625</v>
      </c>
      <c r="H329" s="56">
        <v>43100</v>
      </c>
      <c r="I329" s="103">
        <v>15712.5</v>
      </c>
      <c r="J329" s="37"/>
      <c r="L329"/>
      <c r="M329" s="104"/>
    </row>
    <row r="330" spans="1:14" ht="24" x14ac:dyDescent="0.25">
      <c r="A330" s="1">
        <v>50</v>
      </c>
      <c r="B330" s="172" t="s">
        <v>203</v>
      </c>
      <c r="C330" s="10" t="str">
        <f>"U-10-MV/16"</f>
        <v>U-10-MV/16</v>
      </c>
      <c r="D330" s="56">
        <v>42621</v>
      </c>
      <c r="E330" s="56">
        <v>42983</v>
      </c>
      <c r="F330" s="8">
        <v>263330</v>
      </c>
      <c r="G330" s="8">
        <v>329162.5</v>
      </c>
      <c r="H330" s="56">
        <v>42983</v>
      </c>
      <c r="I330" s="103">
        <v>118595</v>
      </c>
      <c r="J330" s="37"/>
      <c r="L330"/>
      <c r="M330" s="104"/>
    </row>
    <row r="331" spans="1:14" x14ac:dyDescent="0.25">
      <c r="A331" s="1">
        <v>51</v>
      </c>
      <c r="B331" s="172" t="s">
        <v>278</v>
      </c>
      <c r="C331" s="10" t="str">
        <f>"107/2016"</f>
        <v>107/2016</v>
      </c>
      <c r="D331" s="56">
        <v>42619</v>
      </c>
      <c r="E331" s="56">
        <v>43330</v>
      </c>
      <c r="F331" s="8">
        <v>59550</v>
      </c>
      <c r="G331" s="8">
        <v>74437.5</v>
      </c>
      <c r="H331" s="56">
        <v>43100</v>
      </c>
      <c r="I331" s="103">
        <v>93294.174999999988</v>
      </c>
      <c r="J331" s="37"/>
      <c r="L331"/>
      <c r="M331" s="104"/>
    </row>
    <row r="332" spans="1:14" x14ac:dyDescent="0.25">
      <c r="A332" s="1">
        <v>52</v>
      </c>
      <c r="B332" s="172" t="s">
        <v>198</v>
      </c>
      <c r="C332" s="10" t="str">
        <f>"P/14412424"</f>
        <v>P/14412424</v>
      </c>
      <c r="D332" s="56">
        <v>42612</v>
      </c>
      <c r="E332" s="56">
        <v>42977</v>
      </c>
      <c r="F332" s="8">
        <v>2343930</v>
      </c>
      <c r="G332" s="8">
        <v>2929912.5</v>
      </c>
      <c r="H332" s="56">
        <v>43008</v>
      </c>
      <c r="I332" s="103">
        <v>1278952.5</v>
      </c>
      <c r="J332" s="37"/>
      <c r="L332"/>
      <c r="M332" s="104"/>
    </row>
    <row r="333" spans="1:14" ht="36" x14ac:dyDescent="0.25">
      <c r="A333" s="1">
        <v>53</v>
      </c>
      <c r="B333" s="172" t="s">
        <v>189</v>
      </c>
      <c r="C333" s="10" t="str">
        <f>"501/2016"</f>
        <v>501/2016</v>
      </c>
      <c r="D333" s="56">
        <v>42648</v>
      </c>
      <c r="E333" s="56">
        <v>43330</v>
      </c>
      <c r="F333" s="8">
        <v>1240</v>
      </c>
      <c r="G333" s="8">
        <v>1550</v>
      </c>
      <c r="H333" s="56">
        <v>43100</v>
      </c>
      <c r="I333" s="103">
        <v>1550</v>
      </c>
      <c r="J333" s="37"/>
      <c r="L333"/>
      <c r="M333" s="104"/>
    </row>
    <row r="334" spans="1:14" ht="36" x14ac:dyDescent="0.25">
      <c r="A334" s="1">
        <v>54</v>
      </c>
      <c r="B334" s="172" t="s">
        <v>191</v>
      </c>
      <c r="C334" s="10" t="str">
        <f>"MFIN-NARUDĐBENICE"</f>
        <v>MFIN-NARUDĐBENICE</v>
      </c>
      <c r="D334" s="56">
        <v>42709</v>
      </c>
      <c r="E334" s="56">
        <v>42825</v>
      </c>
      <c r="F334" s="8">
        <v>660</v>
      </c>
      <c r="G334" s="8">
        <v>825</v>
      </c>
      <c r="H334" s="56">
        <v>42825</v>
      </c>
      <c r="I334" s="103">
        <v>825</v>
      </c>
      <c r="J334" s="37"/>
      <c r="L334"/>
      <c r="M334" s="104"/>
    </row>
    <row r="335" spans="1:14" ht="7.5" customHeight="1" x14ac:dyDescent="0.25"/>
    <row r="336" spans="1:14" x14ac:dyDescent="0.25">
      <c r="A336" s="175" t="s">
        <v>41</v>
      </c>
      <c r="B336" s="175"/>
      <c r="C336" s="175"/>
      <c r="D336" s="175"/>
      <c r="E336" s="175"/>
      <c r="F336" s="175"/>
      <c r="G336" s="175"/>
      <c r="H336" s="175"/>
      <c r="I336" s="175"/>
      <c r="J336" s="175"/>
      <c r="K336" s="175"/>
      <c r="L336" s="175"/>
      <c r="M336" s="175"/>
      <c r="N336" s="175"/>
    </row>
    <row r="337" spans="1:14" ht="36" x14ac:dyDescent="0.25">
      <c r="A337" s="53" t="s">
        <v>0</v>
      </c>
      <c r="B337" s="54" t="s">
        <v>1</v>
      </c>
      <c r="C337" s="54" t="s">
        <v>3</v>
      </c>
      <c r="D337" s="178" t="s">
        <v>171</v>
      </c>
      <c r="E337" s="178"/>
      <c r="F337" s="54" t="s">
        <v>166</v>
      </c>
      <c r="G337" s="54" t="s">
        <v>170</v>
      </c>
      <c r="H337" s="54" t="s">
        <v>167</v>
      </c>
      <c r="I337" s="54" t="s">
        <v>4</v>
      </c>
      <c r="J337" s="54" t="s">
        <v>5</v>
      </c>
      <c r="K337" s="54" t="s">
        <v>2</v>
      </c>
      <c r="L337" s="54" t="s">
        <v>172</v>
      </c>
      <c r="M337" s="54" t="s">
        <v>173</v>
      </c>
      <c r="N337" s="54" t="s">
        <v>169</v>
      </c>
    </row>
    <row r="338" spans="1:14" ht="60.75" customHeight="1" x14ac:dyDescent="0.25">
      <c r="A338" s="1">
        <v>1</v>
      </c>
      <c r="B338" s="4" t="s">
        <v>53</v>
      </c>
      <c r="C338" s="1" t="s">
        <v>77</v>
      </c>
      <c r="D338" s="179" t="s">
        <v>1018</v>
      </c>
      <c r="E338" s="180"/>
      <c r="F338" s="38" t="s">
        <v>99</v>
      </c>
      <c r="G338" s="38" t="s">
        <v>184</v>
      </c>
      <c r="H338" s="1" t="s">
        <v>15</v>
      </c>
      <c r="I338" s="15">
        <v>42600</v>
      </c>
      <c r="J338" s="1" t="s">
        <v>51</v>
      </c>
      <c r="K338" s="8">
        <v>1185194</v>
      </c>
      <c r="L338" s="8">
        <f>K338*0.25</f>
        <v>296298.5</v>
      </c>
      <c r="M338" s="8">
        <v>1481492.5</v>
      </c>
      <c r="N338" s="176"/>
    </row>
    <row r="339" spans="1:14" ht="15" customHeight="1" x14ac:dyDescent="0.25">
      <c r="A339" s="177" t="s">
        <v>1012</v>
      </c>
      <c r="B339" s="177"/>
      <c r="C339" s="177"/>
      <c r="D339" s="177"/>
      <c r="E339" s="177"/>
      <c r="F339" s="177"/>
      <c r="G339" s="177"/>
      <c r="H339" s="177"/>
      <c r="I339" s="177"/>
      <c r="J339" s="177"/>
      <c r="K339" s="177"/>
      <c r="L339" s="177"/>
      <c r="M339" s="8">
        <v>340154.13</v>
      </c>
      <c r="N339" s="176"/>
    </row>
    <row r="340" spans="1:14" ht="7.5" customHeight="1" x14ac:dyDescent="0.25"/>
    <row r="341" spans="1:14" ht="15" customHeight="1" x14ac:dyDescent="0.25">
      <c r="A341" s="175" t="s">
        <v>12</v>
      </c>
      <c r="B341" s="175"/>
      <c r="C341" s="175"/>
      <c r="D341" s="175"/>
      <c r="E341" s="175"/>
      <c r="F341" s="175"/>
      <c r="G341" s="175"/>
      <c r="H341" s="175"/>
      <c r="I341" s="175"/>
      <c r="J341" s="175"/>
      <c r="K341" s="49"/>
      <c r="L341" s="49"/>
    </row>
    <row r="342" spans="1:14" ht="48" customHeight="1" x14ac:dyDescent="0.25">
      <c r="A342" s="2" t="s">
        <v>0</v>
      </c>
      <c r="B342" s="3" t="s">
        <v>7</v>
      </c>
      <c r="C342" s="3" t="s">
        <v>6</v>
      </c>
      <c r="D342" s="3" t="s">
        <v>8</v>
      </c>
      <c r="E342" s="3" t="s">
        <v>168</v>
      </c>
      <c r="F342" s="3" t="s">
        <v>174</v>
      </c>
      <c r="G342" s="3" t="s">
        <v>175</v>
      </c>
      <c r="H342" s="3" t="s">
        <v>9</v>
      </c>
      <c r="I342" s="3" t="s">
        <v>176</v>
      </c>
      <c r="J342" s="3" t="s">
        <v>10</v>
      </c>
      <c r="K342" s="48"/>
      <c r="L342" s="48"/>
      <c r="M342" s="48"/>
    </row>
    <row r="343" spans="1:14" ht="24" x14ac:dyDescent="0.25">
      <c r="A343" s="1">
        <v>1</v>
      </c>
      <c r="B343" s="9" t="s">
        <v>18</v>
      </c>
      <c r="C343" s="10" t="str">
        <f>"SNUG-202-17-060-4"</f>
        <v>SNUG-202-17-060-4</v>
      </c>
      <c r="D343" s="56">
        <v>43033</v>
      </c>
      <c r="E343" s="56">
        <v>43100</v>
      </c>
      <c r="F343" s="62">
        <v>34621</v>
      </c>
      <c r="G343" s="62">
        <v>43276.25</v>
      </c>
      <c r="H343" s="56">
        <v>43100</v>
      </c>
      <c r="I343" s="102">
        <v>43276.25</v>
      </c>
      <c r="J343" s="8"/>
      <c r="K343" s="45"/>
      <c r="L343"/>
    </row>
    <row r="344" spans="1:14" ht="24" x14ac:dyDescent="0.25">
      <c r="A344" s="1">
        <v>2</v>
      </c>
      <c r="B344" s="9" t="s">
        <v>203</v>
      </c>
      <c r="C344" s="10" t="str">
        <f>"NARUDŽBENICA-901,930,1118"</f>
        <v>NARUDŽBENICA-901,930,1118</v>
      </c>
      <c r="D344" s="56">
        <v>43017</v>
      </c>
      <c r="E344" s="56">
        <v>43067</v>
      </c>
      <c r="F344" s="62">
        <v>3200</v>
      </c>
      <c r="G344" s="62">
        <v>4000</v>
      </c>
      <c r="H344" s="56">
        <v>43067</v>
      </c>
      <c r="I344" s="102">
        <v>4000</v>
      </c>
      <c r="J344" s="8"/>
      <c r="K344" s="45"/>
      <c r="L344"/>
    </row>
    <row r="345" spans="1:14" ht="24" x14ac:dyDescent="0.25">
      <c r="A345" s="1">
        <v>3</v>
      </c>
      <c r="B345" s="9" t="s">
        <v>195</v>
      </c>
      <c r="C345" s="10" t="str">
        <f>"KL 406-09/17-04/99 GRUPA 4"</f>
        <v>KL 406-09/17-04/99 GRUPA 4</v>
      </c>
      <c r="D345" s="56">
        <v>43014</v>
      </c>
      <c r="E345" s="56">
        <v>43330</v>
      </c>
      <c r="F345" s="62">
        <v>466268.75</v>
      </c>
      <c r="G345" s="62">
        <v>582835.93999999994</v>
      </c>
      <c r="H345" s="56">
        <v>43100</v>
      </c>
      <c r="I345" s="102">
        <v>27746.25</v>
      </c>
      <c r="J345" s="24"/>
      <c r="K345" s="45"/>
      <c r="L345"/>
    </row>
    <row r="346" spans="1:14" ht="36" x14ac:dyDescent="0.25">
      <c r="A346" s="1">
        <v>4</v>
      </c>
      <c r="B346" s="9" t="s">
        <v>192</v>
      </c>
      <c r="C346" s="10" t="str">
        <f>"N-681/2017"</f>
        <v>N-681/2017</v>
      </c>
      <c r="D346" s="56">
        <v>43100</v>
      </c>
      <c r="E346" s="56">
        <v>43100</v>
      </c>
      <c r="F346" s="62">
        <v>662.5</v>
      </c>
      <c r="G346" s="62">
        <v>828.13</v>
      </c>
      <c r="H346" s="56">
        <v>43100</v>
      </c>
      <c r="I346" s="102">
        <v>828.125</v>
      </c>
      <c r="J346" s="24"/>
      <c r="K346" s="45"/>
      <c r="L346"/>
    </row>
    <row r="347" spans="1:14" ht="24" x14ac:dyDescent="0.25">
      <c r="A347" s="1">
        <v>5</v>
      </c>
      <c r="B347" s="9" t="s">
        <v>203</v>
      </c>
      <c r="C347" s="10" t="str">
        <f>"NARUDŽBENICA 863"</f>
        <v>NARUDŽBENICA 863</v>
      </c>
      <c r="D347" s="56">
        <v>43007</v>
      </c>
      <c r="E347" s="56">
        <v>43007</v>
      </c>
      <c r="F347" s="62">
        <v>1728</v>
      </c>
      <c r="G347" s="62">
        <v>2160</v>
      </c>
      <c r="H347" s="56">
        <v>43008</v>
      </c>
      <c r="I347" s="102">
        <v>2160</v>
      </c>
      <c r="J347" s="24"/>
      <c r="K347" s="45"/>
      <c r="L347"/>
    </row>
    <row r="348" spans="1:14" ht="36" x14ac:dyDescent="0.25">
      <c r="A348" s="1">
        <v>6</v>
      </c>
      <c r="B348" s="9" t="s">
        <v>189</v>
      </c>
      <c r="C348" s="10" t="str">
        <f>"501/2017"</f>
        <v>501/2017</v>
      </c>
      <c r="D348" s="56">
        <v>42950</v>
      </c>
      <c r="E348" s="56">
        <v>42981</v>
      </c>
      <c r="F348" s="62">
        <v>960</v>
      </c>
      <c r="G348" s="62">
        <v>1200</v>
      </c>
      <c r="H348" s="56">
        <v>43008</v>
      </c>
      <c r="I348" s="102">
        <v>1200</v>
      </c>
      <c r="J348" s="24"/>
      <c r="K348" s="45"/>
      <c r="L348"/>
    </row>
    <row r="349" spans="1:14" ht="24" x14ac:dyDescent="0.25">
      <c r="A349" s="1">
        <v>7</v>
      </c>
      <c r="B349" s="9" t="s">
        <v>18</v>
      </c>
      <c r="C349" s="10" t="str">
        <f>"SNUG-202-17-0047-4"</f>
        <v>SNUG-202-17-0047-4</v>
      </c>
      <c r="D349" s="56">
        <v>42914</v>
      </c>
      <c r="E349" s="56">
        <v>43008</v>
      </c>
      <c r="F349" s="62">
        <v>27632</v>
      </c>
      <c r="G349" s="62">
        <v>34540</v>
      </c>
      <c r="H349" s="56">
        <v>43008</v>
      </c>
      <c r="I349" s="102">
        <v>34540</v>
      </c>
      <c r="J349" s="24"/>
      <c r="K349" s="45"/>
      <c r="L349"/>
    </row>
    <row r="350" spans="1:14" ht="24" x14ac:dyDescent="0.25">
      <c r="A350" s="1">
        <v>8</v>
      </c>
      <c r="B350" s="9" t="s">
        <v>203</v>
      </c>
      <c r="C350" s="10" t="str">
        <f>"N-412/2017"</f>
        <v>N-412/2017</v>
      </c>
      <c r="D350" s="56">
        <v>42853</v>
      </c>
      <c r="E350" s="56">
        <v>42853</v>
      </c>
      <c r="F350" s="62">
        <v>598</v>
      </c>
      <c r="G350" s="62">
        <v>747.5</v>
      </c>
      <c r="H350" s="56">
        <v>42916</v>
      </c>
      <c r="I350" s="102">
        <v>747.5</v>
      </c>
      <c r="J350" s="24"/>
      <c r="K350" s="45"/>
      <c r="L350"/>
    </row>
    <row r="351" spans="1:14" ht="24" x14ac:dyDescent="0.25">
      <c r="A351" s="1">
        <v>9</v>
      </c>
      <c r="B351" s="9" t="s">
        <v>18</v>
      </c>
      <c r="C351" s="10" t="str">
        <f>"SNUG-202-17-031-4"</f>
        <v>SNUG-202-17-031-4</v>
      </c>
      <c r="D351" s="56">
        <v>42849</v>
      </c>
      <c r="E351" s="56">
        <v>42916</v>
      </c>
      <c r="F351" s="62">
        <v>24565</v>
      </c>
      <c r="G351" s="62">
        <v>30706.25</v>
      </c>
      <c r="H351" s="56">
        <v>42916</v>
      </c>
      <c r="I351" s="102">
        <v>30706.25</v>
      </c>
      <c r="J351" s="24"/>
      <c r="K351" s="45"/>
      <c r="L351"/>
    </row>
    <row r="352" spans="1:14" ht="36" x14ac:dyDescent="0.25">
      <c r="A352" s="1">
        <v>10</v>
      </c>
      <c r="B352" s="9" t="s">
        <v>203</v>
      </c>
      <c r="C352" s="10" t="str">
        <f>"NARUDŽBENICA SAMSUNG 2017."</f>
        <v>NARUDŽBENICA SAMSUNG 2017.</v>
      </c>
      <c r="D352" s="56">
        <v>42822</v>
      </c>
      <c r="E352" s="56">
        <v>42822</v>
      </c>
      <c r="F352" s="62">
        <v>2160</v>
      </c>
      <c r="G352" s="62">
        <v>2700</v>
      </c>
      <c r="H352" s="56">
        <v>42825</v>
      </c>
      <c r="I352" s="102">
        <v>2700</v>
      </c>
      <c r="J352" s="24"/>
      <c r="K352" s="45"/>
      <c r="L352"/>
    </row>
    <row r="353" spans="1:14" ht="24" x14ac:dyDescent="0.25">
      <c r="A353" s="1">
        <v>11</v>
      </c>
      <c r="B353" s="9" t="s">
        <v>197</v>
      </c>
      <c r="C353" s="10" t="str">
        <f>"N062/2017LR"</f>
        <v>N062/2017LR</v>
      </c>
      <c r="D353" s="56">
        <v>42795</v>
      </c>
      <c r="E353" s="56">
        <v>42825</v>
      </c>
      <c r="F353" s="62">
        <v>3000</v>
      </c>
      <c r="G353" s="62">
        <v>3750</v>
      </c>
      <c r="H353" s="56">
        <v>42825</v>
      </c>
      <c r="I353" s="102">
        <v>3750</v>
      </c>
      <c r="J353" s="24"/>
      <c r="K353" s="45"/>
      <c r="L353"/>
    </row>
    <row r="354" spans="1:14" ht="24" x14ac:dyDescent="0.25">
      <c r="A354" s="1">
        <v>12</v>
      </c>
      <c r="B354" s="9" t="s">
        <v>18</v>
      </c>
      <c r="C354" s="10" t="str">
        <f>"SNUG-202-17-015-4"</f>
        <v>SNUG-202-17-015-4</v>
      </c>
      <c r="D354" s="56">
        <v>42788</v>
      </c>
      <c r="E354" s="56">
        <v>42825</v>
      </c>
      <c r="F354" s="62">
        <v>43992</v>
      </c>
      <c r="G354" s="62">
        <v>54990</v>
      </c>
      <c r="H354" s="56">
        <v>42825</v>
      </c>
      <c r="I354" s="102">
        <v>54990</v>
      </c>
      <c r="J354" s="24"/>
      <c r="K354" s="45"/>
      <c r="L354"/>
    </row>
    <row r="355" spans="1:14" ht="36" x14ac:dyDescent="0.25">
      <c r="A355" s="1">
        <v>13</v>
      </c>
      <c r="B355" s="9" t="s">
        <v>189</v>
      </c>
      <c r="C355" s="10" t="str">
        <f>"21-2017"</f>
        <v>21-2017</v>
      </c>
      <c r="D355" s="56">
        <v>42752</v>
      </c>
      <c r="E355" s="56">
        <v>42783</v>
      </c>
      <c r="F355" s="62">
        <v>2800</v>
      </c>
      <c r="G355" s="62">
        <v>3500</v>
      </c>
      <c r="H355" s="56">
        <v>42825</v>
      </c>
      <c r="I355" s="102">
        <v>3500</v>
      </c>
      <c r="J355" s="24"/>
      <c r="K355" s="45"/>
      <c r="L355"/>
    </row>
    <row r="356" spans="1:14" ht="36" x14ac:dyDescent="0.25">
      <c r="A356" s="1">
        <v>14</v>
      </c>
      <c r="B356" s="9" t="s">
        <v>208</v>
      </c>
      <c r="C356" s="10" t="str">
        <f>"NAR2017-TONERI4"</f>
        <v>NAR2017-TONERI4</v>
      </c>
      <c r="D356" s="56">
        <v>42736</v>
      </c>
      <c r="E356" s="56">
        <v>43008</v>
      </c>
      <c r="F356" s="62">
        <v>5280</v>
      </c>
      <c r="G356" s="62">
        <v>6600</v>
      </c>
      <c r="H356" s="56">
        <v>43008</v>
      </c>
      <c r="I356" s="102">
        <v>6600</v>
      </c>
      <c r="J356" s="8"/>
      <c r="K356" s="45"/>
      <c r="L356"/>
    </row>
    <row r="357" spans="1:14" ht="24" x14ac:dyDescent="0.25">
      <c r="A357" s="1">
        <v>15</v>
      </c>
      <c r="B357" s="9" t="s">
        <v>207</v>
      </c>
      <c r="C357" s="10" t="str">
        <f>"NAR 2017- TONERI 4"</f>
        <v>NAR 2017- TONERI 4</v>
      </c>
      <c r="D357" s="56">
        <v>42736</v>
      </c>
      <c r="E357" s="56">
        <v>43008</v>
      </c>
      <c r="F357" s="62">
        <v>8030.04</v>
      </c>
      <c r="G357" s="62">
        <v>10037.549999999999</v>
      </c>
      <c r="H357" s="56">
        <v>43008</v>
      </c>
      <c r="I357" s="102">
        <v>10037.549999999999</v>
      </c>
      <c r="J357" s="8"/>
      <c r="K357" s="45"/>
      <c r="L357"/>
    </row>
    <row r="358" spans="1:14" ht="24" x14ac:dyDescent="0.25">
      <c r="A358" s="1">
        <v>16</v>
      </c>
      <c r="B358" s="9" t="s">
        <v>187</v>
      </c>
      <c r="C358" s="10" t="str">
        <f>"802/01-16/05OS-4-U1"</f>
        <v>802/01-16/05OS-4-U1</v>
      </c>
      <c r="D358" s="56">
        <v>42710</v>
      </c>
      <c r="E358" s="56">
        <v>43075</v>
      </c>
      <c r="F358" s="62">
        <v>5990</v>
      </c>
      <c r="G358" s="62">
        <v>7487.5</v>
      </c>
      <c r="H358" s="56">
        <v>42916</v>
      </c>
      <c r="I358" s="102">
        <v>3743.75</v>
      </c>
      <c r="J358" s="8"/>
      <c r="K358" s="45"/>
      <c r="L358"/>
    </row>
    <row r="359" spans="1:14" x14ac:dyDescent="0.25">
      <c r="A359" s="1">
        <v>17</v>
      </c>
      <c r="B359" s="9" t="s">
        <v>17</v>
      </c>
      <c r="C359" s="10" t="str">
        <f>"14-DUSJN/16-4"</f>
        <v>14-DUSJN/16-4</v>
      </c>
      <c r="D359" s="56">
        <v>42671</v>
      </c>
      <c r="E359" s="56">
        <v>43036</v>
      </c>
      <c r="F359" s="62">
        <v>32530</v>
      </c>
      <c r="G359" s="62">
        <v>40662.5</v>
      </c>
      <c r="H359" s="56">
        <v>43036</v>
      </c>
      <c r="I359" s="105">
        <v>22296.25</v>
      </c>
      <c r="J359" s="17"/>
      <c r="K359" s="45"/>
      <c r="L359"/>
    </row>
    <row r="360" spans="1:14" ht="24" x14ac:dyDescent="0.25">
      <c r="A360" s="1">
        <v>18</v>
      </c>
      <c r="B360" s="9" t="s">
        <v>195</v>
      </c>
      <c r="C360" s="10" t="str">
        <f>"61003-1//2016 GRUPA 4"</f>
        <v>61003-1//2016 GRUPA 4</v>
      </c>
      <c r="D360" s="56">
        <v>42657</v>
      </c>
      <c r="E360" s="56">
        <v>43022</v>
      </c>
      <c r="F360" s="62">
        <v>373015</v>
      </c>
      <c r="G360" s="62">
        <v>466268.75</v>
      </c>
      <c r="H360" s="56">
        <v>43022</v>
      </c>
      <c r="I360" s="103">
        <v>77744</v>
      </c>
      <c r="J360" s="5"/>
      <c r="K360" s="45"/>
      <c r="L360"/>
    </row>
    <row r="361" spans="1:14" ht="24" x14ac:dyDescent="0.25">
      <c r="A361" s="1">
        <v>19</v>
      </c>
      <c r="B361" s="9" t="s">
        <v>193</v>
      </c>
      <c r="C361" s="10" t="str">
        <f>"45-4-16-2"</f>
        <v>45-4-16-2</v>
      </c>
      <c r="D361" s="56">
        <v>42639</v>
      </c>
      <c r="E361" s="56">
        <v>43330</v>
      </c>
      <c r="F361" s="62">
        <v>15850</v>
      </c>
      <c r="G361" s="62">
        <v>19812.5</v>
      </c>
      <c r="H361" s="56">
        <v>43100</v>
      </c>
      <c r="I361" s="103">
        <v>5675</v>
      </c>
      <c r="J361" s="5"/>
      <c r="K361" s="45"/>
      <c r="L361"/>
    </row>
    <row r="362" spans="1:14" x14ac:dyDescent="0.25">
      <c r="A362" s="1">
        <v>20</v>
      </c>
      <c r="B362" s="9" t="s">
        <v>278</v>
      </c>
      <c r="C362" s="10" t="str">
        <f>"108/2016"</f>
        <v>108/2016</v>
      </c>
      <c r="D362" s="56">
        <v>42619</v>
      </c>
      <c r="E362" s="56">
        <v>43330</v>
      </c>
      <c r="F362" s="62">
        <v>960</v>
      </c>
      <c r="G362" s="62">
        <v>1200</v>
      </c>
      <c r="H362" s="56">
        <v>43100</v>
      </c>
      <c r="I362" s="103">
        <v>3070.2</v>
      </c>
      <c r="J362" s="5"/>
      <c r="K362" s="45"/>
      <c r="L362"/>
    </row>
    <row r="363" spans="1:14" x14ac:dyDescent="0.25">
      <c r="A363" s="1">
        <v>21</v>
      </c>
      <c r="B363" s="9" t="s">
        <v>212</v>
      </c>
      <c r="C363" s="10" t="str">
        <f>"14/2015- 4"</f>
        <v>14/2015- 4</v>
      </c>
      <c r="D363" s="56">
        <v>42600</v>
      </c>
      <c r="E363" s="56">
        <v>43330</v>
      </c>
      <c r="F363" s="62">
        <v>674.4</v>
      </c>
      <c r="G363" s="62">
        <v>843</v>
      </c>
      <c r="H363" s="56">
        <v>43100</v>
      </c>
      <c r="I363" s="103">
        <v>843</v>
      </c>
      <c r="J363" s="5"/>
      <c r="K363" s="45"/>
      <c r="L363"/>
    </row>
    <row r="364" spans="1:14" ht="24" x14ac:dyDescent="0.25">
      <c r="A364" s="1">
        <v>22</v>
      </c>
      <c r="B364" s="9" t="s">
        <v>199</v>
      </c>
      <c r="C364" s="10" t="str">
        <f>"14/2015-4-MHB"</f>
        <v>14/2015-4-MHB</v>
      </c>
      <c r="D364" s="56">
        <v>42600</v>
      </c>
      <c r="E364" s="56">
        <v>43330</v>
      </c>
      <c r="F364" s="62">
        <v>0</v>
      </c>
      <c r="G364" s="62">
        <v>0</v>
      </c>
      <c r="H364" s="56">
        <v>43100</v>
      </c>
      <c r="I364" s="103">
        <v>0</v>
      </c>
      <c r="J364" s="5"/>
      <c r="K364" s="45"/>
      <c r="L364"/>
    </row>
    <row r="365" spans="1:14" ht="7.5" customHeight="1" x14ac:dyDescent="0.25"/>
    <row r="366" spans="1:14" x14ac:dyDescent="0.25">
      <c r="A366" s="175" t="s">
        <v>41</v>
      </c>
      <c r="B366" s="175"/>
      <c r="C366" s="175"/>
      <c r="D366" s="175"/>
      <c r="E366" s="175"/>
      <c r="F366" s="175"/>
      <c r="G366" s="175"/>
      <c r="H366" s="175"/>
      <c r="I366" s="175"/>
      <c r="J366" s="175"/>
      <c r="K366" s="175"/>
      <c r="L366" s="175"/>
      <c r="M366" s="175"/>
      <c r="N366" s="175"/>
    </row>
    <row r="367" spans="1:14" ht="36" x14ac:dyDescent="0.25">
      <c r="A367" s="53" t="s">
        <v>0</v>
      </c>
      <c r="B367" s="54" t="s">
        <v>1</v>
      </c>
      <c r="C367" s="54" t="s">
        <v>3</v>
      </c>
      <c r="D367" s="178" t="s">
        <v>171</v>
      </c>
      <c r="E367" s="178"/>
      <c r="F367" s="54" t="s">
        <v>166</v>
      </c>
      <c r="G367" s="54" t="s">
        <v>170</v>
      </c>
      <c r="H367" s="54" t="s">
        <v>167</v>
      </c>
      <c r="I367" s="54" t="s">
        <v>4</v>
      </c>
      <c r="J367" s="54" t="s">
        <v>5</v>
      </c>
      <c r="K367" s="54" t="s">
        <v>2</v>
      </c>
      <c r="L367" s="54" t="s">
        <v>172</v>
      </c>
      <c r="M367" s="54" t="s">
        <v>173</v>
      </c>
      <c r="N367" s="54" t="s">
        <v>169</v>
      </c>
    </row>
    <row r="368" spans="1:14" ht="61.5" customHeight="1" x14ac:dyDescent="0.25">
      <c r="A368" s="1">
        <v>1</v>
      </c>
      <c r="B368" s="4" t="s">
        <v>53</v>
      </c>
      <c r="C368" s="1" t="s">
        <v>78</v>
      </c>
      <c r="D368" s="179" t="s">
        <v>1018</v>
      </c>
      <c r="E368" s="180"/>
      <c r="F368" s="38" t="s">
        <v>99</v>
      </c>
      <c r="G368" s="38" t="s">
        <v>184</v>
      </c>
      <c r="H368" s="1" t="s">
        <v>15</v>
      </c>
      <c r="I368" s="15">
        <v>42600</v>
      </c>
      <c r="J368" s="1" t="s">
        <v>51</v>
      </c>
      <c r="K368" s="8">
        <v>2074151.6</v>
      </c>
      <c r="L368" s="8">
        <f>K368*0.25</f>
        <v>518537.9</v>
      </c>
      <c r="M368" s="8">
        <v>2592689.5</v>
      </c>
      <c r="N368" s="176"/>
    </row>
    <row r="369" spans="1:14" ht="15" customHeight="1" x14ac:dyDescent="0.25">
      <c r="A369" s="177" t="s">
        <v>1012</v>
      </c>
      <c r="B369" s="177"/>
      <c r="C369" s="177"/>
      <c r="D369" s="177"/>
      <c r="E369" s="177"/>
      <c r="F369" s="177"/>
      <c r="G369" s="177"/>
      <c r="H369" s="177"/>
      <c r="I369" s="177"/>
      <c r="J369" s="177"/>
      <c r="K369" s="177"/>
      <c r="L369" s="177"/>
      <c r="M369" s="8">
        <v>3805208.46</v>
      </c>
      <c r="N369" s="176"/>
    </row>
    <row r="370" spans="1:14" ht="7.5" customHeight="1" x14ac:dyDescent="0.25"/>
    <row r="371" spans="1:14" ht="15" customHeight="1" x14ac:dyDescent="0.25">
      <c r="A371" s="175" t="s">
        <v>12</v>
      </c>
      <c r="B371" s="175"/>
      <c r="C371" s="175"/>
      <c r="D371" s="175"/>
      <c r="E371" s="175"/>
      <c r="F371" s="175"/>
      <c r="G371" s="175"/>
      <c r="H371" s="175"/>
      <c r="I371" s="175"/>
      <c r="J371" s="175"/>
      <c r="K371" s="49"/>
      <c r="L371" s="49"/>
    </row>
    <row r="372" spans="1:14" ht="48" customHeight="1" x14ac:dyDescent="0.25">
      <c r="A372" s="2" t="s">
        <v>0</v>
      </c>
      <c r="B372" s="3" t="s">
        <v>7</v>
      </c>
      <c r="C372" s="3" t="s">
        <v>6</v>
      </c>
      <c r="D372" s="3" t="s">
        <v>8</v>
      </c>
      <c r="E372" s="3" t="s">
        <v>168</v>
      </c>
      <c r="F372" s="3" t="s">
        <v>174</v>
      </c>
      <c r="G372" s="3" t="s">
        <v>175</v>
      </c>
      <c r="H372" s="3" t="s">
        <v>9</v>
      </c>
      <c r="I372" s="3" t="s">
        <v>176</v>
      </c>
      <c r="J372" s="3" t="s">
        <v>10</v>
      </c>
      <c r="K372" s="48"/>
      <c r="L372" s="48"/>
      <c r="M372" s="48"/>
    </row>
    <row r="373" spans="1:14" ht="24" x14ac:dyDescent="0.25">
      <c r="A373" s="1">
        <v>1</v>
      </c>
      <c r="B373" s="9" t="s">
        <v>202</v>
      </c>
      <c r="C373" s="10" t="str">
        <f>"233/2017-INGPRO"</f>
        <v>233/2017-INGPRO</v>
      </c>
      <c r="D373" s="56">
        <v>43048</v>
      </c>
      <c r="E373" s="56">
        <v>43100</v>
      </c>
      <c r="F373" s="8">
        <v>985.36</v>
      </c>
      <c r="G373" s="8">
        <v>1231.7</v>
      </c>
      <c r="H373" s="56">
        <v>43100</v>
      </c>
      <c r="I373" s="102">
        <v>1231.7</v>
      </c>
      <c r="J373" s="8"/>
      <c r="K373" s="45"/>
      <c r="L373"/>
    </row>
    <row r="374" spans="1:14" ht="24" x14ac:dyDescent="0.25">
      <c r="A374" s="1">
        <v>2</v>
      </c>
      <c r="B374" s="9" t="s">
        <v>190</v>
      </c>
      <c r="C374" s="10" t="str">
        <f>"491/2017"</f>
        <v>491/2017</v>
      </c>
      <c r="D374" s="56">
        <v>43045</v>
      </c>
      <c r="E374" s="56">
        <v>43059</v>
      </c>
      <c r="F374" s="8">
        <v>6158.5</v>
      </c>
      <c r="G374" s="8">
        <v>7698.13</v>
      </c>
      <c r="H374" s="56">
        <v>43100</v>
      </c>
      <c r="I374" s="102">
        <v>7698.125</v>
      </c>
      <c r="J374" s="8"/>
      <c r="K374" s="45"/>
      <c r="L374"/>
    </row>
    <row r="375" spans="1:14" ht="24" x14ac:dyDescent="0.25">
      <c r="A375" s="1">
        <v>3</v>
      </c>
      <c r="B375" s="9" t="s">
        <v>18</v>
      </c>
      <c r="C375" s="10" t="str">
        <f>"SNUG-202-17-060-5"</f>
        <v>SNUG-202-17-060-5</v>
      </c>
      <c r="D375" s="56">
        <v>43033</v>
      </c>
      <c r="E375" s="56">
        <v>43100</v>
      </c>
      <c r="F375" s="8">
        <v>222695.84</v>
      </c>
      <c r="G375" s="8">
        <v>278369.8</v>
      </c>
      <c r="H375" s="56">
        <v>43100</v>
      </c>
      <c r="I375" s="102">
        <v>278369.8</v>
      </c>
      <c r="J375" s="8"/>
      <c r="K375" s="45"/>
      <c r="L375"/>
    </row>
    <row r="376" spans="1:14" ht="36" x14ac:dyDescent="0.25">
      <c r="A376" s="1">
        <v>4</v>
      </c>
      <c r="B376" s="9" t="s">
        <v>188</v>
      </c>
      <c r="C376" s="10" t="str">
        <f>"133-2017"</f>
        <v>133-2017</v>
      </c>
      <c r="D376" s="56">
        <v>43032</v>
      </c>
      <c r="E376" s="56">
        <v>43061</v>
      </c>
      <c r="F376" s="8">
        <v>23252.400000000001</v>
      </c>
      <c r="G376" s="8">
        <v>29065.5</v>
      </c>
      <c r="H376" s="56">
        <v>43100</v>
      </c>
      <c r="I376" s="102">
        <v>29065.5</v>
      </c>
      <c r="J376" s="8"/>
      <c r="K376" s="45"/>
      <c r="L376"/>
    </row>
    <row r="377" spans="1:14" ht="24" x14ac:dyDescent="0.25">
      <c r="A377" s="1">
        <v>5</v>
      </c>
      <c r="B377" s="9" t="s">
        <v>195</v>
      </c>
      <c r="C377" s="10" t="str">
        <f>"KL 406-09/17-04/99 GRUPA 5"</f>
        <v>KL 406-09/17-04/99 GRUPA 5</v>
      </c>
      <c r="D377" s="56">
        <v>43014</v>
      </c>
      <c r="E377" s="56">
        <v>43330</v>
      </c>
      <c r="F377" s="8">
        <v>268008.7</v>
      </c>
      <c r="G377" s="8">
        <v>335010.88</v>
      </c>
      <c r="H377" s="56">
        <v>43100</v>
      </c>
      <c r="I377" s="102">
        <v>28082.525000000001</v>
      </c>
      <c r="J377" s="24"/>
      <c r="K377" s="45"/>
      <c r="L377"/>
    </row>
    <row r="378" spans="1:14" ht="36" x14ac:dyDescent="0.25">
      <c r="A378" s="1">
        <v>6</v>
      </c>
      <c r="B378" s="9" t="s">
        <v>203</v>
      </c>
      <c r="C378" s="10" t="str">
        <f>"N17-873,885,889,899,970,1007.."</f>
        <v>N17-873,885,889,899,970,1007..</v>
      </c>
      <c r="D378" s="56">
        <v>43011</v>
      </c>
      <c r="E378" s="56">
        <v>43073</v>
      </c>
      <c r="F378" s="8">
        <v>25778.400000000001</v>
      </c>
      <c r="G378" s="8">
        <v>32223</v>
      </c>
      <c r="H378" s="56">
        <v>43073</v>
      </c>
      <c r="I378" s="102">
        <v>32223</v>
      </c>
      <c r="J378" s="24"/>
      <c r="K378" s="45"/>
      <c r="L378"/>
    </row>
    <row r="379" spans="1:14" ht="24" x14ac:dyDescent="0.25">
      <c r="A379" s="1">
        <v>7</v>
      </c>
      <c r="B379" s="9" t="s">
        <v>196</v>
      </c>
      <c r="C379" s="10" t="str">
        <f>"MGPU 14/2015-5_2"</f>
        <v>MGPU 14/2015-5_2</v>
      </c>
      <c r="D379" s="56">
        <v>43010</v>
      </c>
      <c r="E379" s="56">
        <v>43330</v>
      </c>
      <c r="F379" s="8">
        <v>323521</v>
      </c>
      <c r="G379" s="8">
        <v>404401.25</v>
      </c>
      <c r="H379" s="56">
        <v>43100</v>
      </c>
      <c r="I379" s="102">
        <v>66741.975000000006</v>
      </c>
      <c r="J379" s="24"/>
      <c r="K379" s="45"/>
      <c r="L379"/>
    </row>
    <row r="380" spans="1:14" ht="24" x14ac:dyDescent="0.25">
      <c r="A380" s="1">
        <v>8</v>
      </c>
      <c r="B380" s="9" t="s">
        <v>185</v>
      </c>
      <c r="C380" s="10" t="str">
        <f>"14/2015-5 UGOVOR"</f>
        <v>14/2015-5 UGOVOR</v>
      </c>
      <c r="D380" s="56">
        <v>43008</v>
      </c>
      <c r="E380" s="56">
        <v>43329</v>
      </c>
      <c r="F380" s="8">
        <v>107341.2</v>
      </c>
      <c r="G380" s="8">
        <v>134176.5</v>
      </c>
      <c r="H380" s="56">
        <v>43100</v>
      </c>
      <c r="I380" s="102">
        <v>19327.237500000003</v>
      </c>
      <c r="J380" s="24"/>
      <c r="K380" s="45"/>
      <c r="L380"/>
    </row>
    <row r="381" spans="1:14" ht="24" x14ac:dyDescent="0.25">
      <c r="A381" s="1">
        <v>9</v>
      </c>
      <c r="B381" s="9" t="s">
        <v>186</v>
      </c>
      <c r="C381" s="10" t="str">
        <f>"532-02-02-02/4-17-7"</f>
        <v>532-02-02-02/4-17-7</v>
      </c>
      <c r="D381" s="56">
        <v>42996</v>
      </c>
      <c r="E381" s="56">
        <v>43361</v>
      </c>
      <c r="F381" s="8">
        <v>179129.2</v>
      </c>
      <c r="G381" s="8">
        <v>223911.5</v>
      </c>
      <c r="H381" s="56">
        <v>43008</v>
      </c>
      <c r="I381" s="102">
        <v>0</v>
      </c>
      <c r="J381" s="24"/>
      <c r="K381" s="45"/>
      <c r="L381"/>
    </row>
    <row r="382" spans="1:14" ht="36" x14ac:dyDescent="0.25">
      <c r="A382" s="1">
        <v>10</v>
      </c>
      <c r="B382" s="9" t="s">
        <v>188</v>
      </c>
      <c r="C382" s="10" t="str">
        <f>"76-2017"</f>
        <v>76-2017</v>
      </c>
      <c r="D382" s="56">
        <v>42927</v>
      </c>
      <c r="E382" s="56">
        <v>42927</v>
      </c>
      <c r="F382" s="8">
        <v>2097.6</v>
      </c>
      <c r="G382" s="8">
        <v>2622</v>
      </c>
      <c r="H382" s="56">
        <v>43008</v>
      </c>
      <c r="I382" s="102">
        <v>2622</v>
      </c>
      <c r="J382" s="24"/>
      <c r="K382" s="45"/>
      <c r="L382"/>
    </row>
    <row r="383" spans="1:14" ht="24" x14ac:dyDescent="0.25">
      <c r="A383" s="1">
        <v>11</v>
      </c>
      <c r="B383" s="9" t="s">
        <v>203</v>
      </c>
      <c r="C383" s="10" t="str">
        <f>"NARUDŽBENICE 2017."</f>
        <v>NARUDŽBENICE 2017.</v>
      </c>
      <c r="D383" s="56">
        <v>42920</v>
      </c>
      <c r="E383" s="56">
        <v>42934</v>
      </c>
      <c r="F383" s="8">
        <v>7621.44</v>
      </c>
      <c r="G383" s="8">
        <v>9526.7999999999993</v>
      </c>
      <c r="H383" s="56">
        <v>43008</v>
      </c>
      <c r="I383" s="102">
        <v>9526.7999999999993</v>
      </c>
      <c r="J383" s="24"/>
      <c r="K383" s="45"/>
      <c r="L383"/>
    </row>
    <row r="384" spans="1:14" ht="24" x14ac:dyDescent="0.25">
      <c r="A384" s="1">
        <v>12</v>
      </c>
      <c r="B384" s="9" t="s">
        <v>202</v>
      </c>
      <c r="C384" s="10" t="str">
        <f>"130/2017 XEROX-INGPRO"</f>
        <v>130/2017 XEROX-INGPRO</v>
      </c>
      <c r="D384" s="56">
        <v>42916</v>
      </c>
      <c r="E384" s="56">
        <v>42926</v>
      </c>
      <c r="F384" s="8">
        <v>5686.96</v>
      </c>
      <c r="G384" s="8">
        <v>7108.7</v>
      </c>
      <c r="H384" s="56">
        <v>43008</v>
      </c>
      <c r="I384" s="102">
        <v>7108.7</v>
      </c>
      <c r="J384" s="24"/>
      <c r="K384" s="45"/>
      <c r="L384"/>
    </row>
    <row r="385" spans="1:13" ht="24" x14ac:dyDescent="0.25">
      <c r="A385" s="1">
        <v>13</v>
      </c>
      <c r="B385" s="9" t="s">
        <v>18</v>
      </c>
      <c r="C385" s="10" t="str">
        <f>"SNUG-202-17-0047-5"</f>
        <v>SNUG-202-17-0047-5</v>
      </c>
      <c r="D385" s="56">
        <v>42914</v>
      </c>
      <c r="E385" s="56">
        <v>43008</v>
      </c>
      <c r="F385" s="8">
        <v>259383.84</v>
      </c>
      <c r="G385" s="8">
        <v>324229.8</v>
      </c>
      <c r="H385" s="56">
        <v>43008</v>
      </c>
      <c r="I385" s="102">
        <v>324229.8</v>
      </c>
      <c r="J385" s="24"/>
      <c r="K385" s="45"/>
      <c r="L385"/>
    </row>
    <row r="386" spans="1:13" ht="24" x14ac:dyDescent="0.25">
      <c r="A386" s="1">
        <v>14</v>
      </c>
      <c r="B386" s="9" t="s">
        <v>190</v>
      </c>
      <c r="C386" s="10" t="str">
        <f>"217/2017/R"</f>
        <v>217/2017/R</v>
      </c>
      <c r="D386" s="56">
        <v>42885</v>
      </c>
      <c r="E386" s="56">
        <v>42898</v>
      </c>
      <c r="F386" s="8">
        <v>4926.8</v>
      </c>
      <c r="G386" s="8">
        <v>6158.5</v>
      </c>
      <c r="H386" s="56">
        <v>42898</v>
      </c>
      <c r="I386" s="102">
        <v>6158.5</v>
      </c>
      <c r="J386" s="24"/>
      <c r="K386" s="45"/>
      <c r="L386"/>
    </row>
    <row r="387" spans="1:13" ht="36" x14ac:dyDescent="0.25">
      <c r="A387" s="1">
        <v>15</v>
      </c>
      <c r="B387" s="9" t="s">
        <v>189</v>
      </c>
      <c r="C387" s="10" t="str">
        <f>"331/2017"</f>
        <v>331/2017</v>
      </c>
      <c r="D387" s="56">
        <v>42878</v>
      </c>
      <c r="E387" s="56">
        <v>42909</v>
      </c>
      <c r="F387" s="8">
        <v>8092.8</v>
      </c>
      <c r="G387" s="8">
        <v>10116</v>
      </c>
      <c r="H387" s="56">
        <v>42916</v>
      </c>
      <c r="I387" s="102">
        <v>10116</v>
      </c>
      <c r="J387" s="24"/>
      <c r="K387" s="45"/>
      <c r="L387"/>
    </row>
    <row r="388" spans="1:13" ht="36" x14ac:dyDescent="0.25">
      <c r="A388" s="1">
        <v>16</v>
      </c>
      <c r="B388" s="9" t="s">
        <v>188</v>
      </c>
      <c r="C388" s="10" t="str">
        <f>"49-2017"</f>
        <v>49-2017</v>
      </c>
      <c r="D388" s="56">
        <v>42873</v>
      </c>
      <c r="E388" s="56">
        <v>42873</v>
      </c>
      <c r="F388" s="8">
        <v>5604</v>
      </c>
      <c r="G388" s="8">
        <v>7005</v>
      </c>
      <c r="H388" s="56">
        <v>42916</v>
      </c>
      <c r="I388" s="102">
        <v>7005</v>
      </c>
      <c r="J388" s="24"/>
      <c r="K388" s="45"/>
      <c r="L388"/>
    </row>
    <row r="389" spans="1:13" ht="24" x14ac:dyDescent="0.25">
      <c r="A389" s="1">
        <v>17</v>
      </c>
      <c r="B389" s="9" t="s">
        <v>18</v>
      </c>
      <c r="C389" s="10" t="str">
        <f>"SNUG-202-17-031-5"</f>
        <v>SNUG-202-17-031-5</v>
      </c>
      <c r="D389" s="56">
        <v>42849</v>
      </c>
      <c r="E389" s="56">
        <v>42916</v>
      </c>
      <c r="F389" s="8">
        <v>298619.53999999998</v>
      </c>
      <c r="G389" s="8">
        <v>373274.43</v>
      </c>
      <c r="H389" s="56">
        <v>42916</v>
      </c>
      <c r="I389" s="102">
        <v>373274.42499999999</v>
      </c>
      <c r="J389" s="24"/>
      <c r="K389" s="45"/>
      <c r="L389"/>
    </row>
    <row r="390" spans="1:13" ht="24" x14ac:dyDescent="0.25">
      <c r="A390" s="1">
        <v>18</v>
      </c>
      <c r="B390" s="9" t="s">
        <v>203</v>
      </c>
      <c r="C390" s="10" t="str">
        <f>"NARUDŽBENICE 2017. XEROX"</f>
        <v>NARUDŽBENICE 2017. XEROX</v>
      </c>
      <c r="D390" s="56">
        <v>42838</v>
      </c>
      <c r="E390" s="56">
        <v>42914</v>
      </c>
      <c r="F390" s="8">
        <v>17068.8</v>
      </c>
      <c r="G390" s="8">
        <v>21336</v>
      </c>
      <c r="H390" s="56">
        <v>42916</v>
      </c>
      <c r="I390" s="102">
        <v>21336</v>
      </c>
      <c r="J390" s="24"/>
      <c r="K390" s="45"/>
      <c r="L390"/>
    </row>
    <row r="391" spans="1:13" ht="24" x14ac:dyDescent="0.25">
      <c r="A391" s="1">
        <v>19</v>
      </c>
      <c r="B391" s="9" t="s">
        <v>187</v>
      </c>
      <c r="C391" s="10" t="str">
        <f>"802/01-16/05OS-5-U2"</f>
        <v>802/01-16/05OS-5-U2</v>
      </c>
      <c r="D391" s="56">
        <v>42837</v>
      </c>
      <c r="E391" s="56">
        <v>43100</v>
      </c>
      <c r="F391" s="8">
        <v>38903.82</v>
      </c>
      <c r="G391" s="8">
        <v>48629.78</v>
      </c>
      <c r="H391" s="56">
        <v>42916</v>
      </c>
      <c r="I391" s="102">
        <v>0</v>
      </c>
      <c r="J391" s="24"/>
      <c r="K391" s="45"/>
      <c r="L391"/>
    </row>
    <row r="392" spans="1:13" s="65" customFormat="1" ht="36" x14ac:dyDescent="0.25">
      <c r="A392" s="1">
        <v>20</v>
      </c>
      <c r="B392" s="9" t="s">
        <v>191</v>
      </c>
      <c r="C392" s="10" t="str">
        <f>"MFIN-NARUDŽ. ZA II KVARTAL"</f>
        <v>MFIN-NARUDŽ. ZA II KVARTAL</v>
      </c>
      <c r="D392" s="56">
        <v>42826</v>
      </c>
      <c r="E392" s="56">
        <v>42916</v>
      </c>
      <c r="F392" s="8">
        <v>43643.8</v>
      </c>
      <c r="G392" s="8">
        <v>54554.75</v>
      </c>
      <c r="H392" s="56">
        <v>42916</v>
      </c>
      <c r="I392" s="106">
        <v>54554.75</v>
      </c>
      <c r="J392" s="63"/>
      <c r="K392" s="64"/>
      <c r="L392"/>
      <c r="M392"/>
    </row>
    <row r="393" spans="1:13" ht="24" x14ac:dyDescent="0.25">
      <c r="A393" s="1">
        <v>21</v>
      </c>
      <c r="B393" s="9" t="s">
        <v>197</v>
      </c>
      <c r="C393" s="10" t="str">
        <f>"N063/2017LR"</f>
        <v>N063/2017LR</v>
      </c>
      <c r="D393" s="56">
        <v>42795</v>
      </c>
      <c r="E393" s="56">
        <v>42825</v>
      </c>
      <c r="F393" s="8">
        <v>9792</v>
      </c>
      <c r="G393" s="8">
        <v>12240</v>
      </c>
      <c r="H393" s="56">
        <v>42825</v>
      </c>
      <c r="I393" s="102">
        <v>12240</v>
      </c>
      <c r="J393" s="24"/>
      <c r="K393" s="45"/>
      <c r="L393"/>
    </row>
    <row r="394" spans="1:13" ht="36" x14ac:dyDescent="0.25">
      <c r="A394" s="1">
        <v>22</v>
      </c>
      <c r="B394" s="9" t="s">
        <v>189</v>
      </c>
      <c r="C394" s="10" t="str">
        <f>"125/2017"</f>
        <v>125/2017</v>
      </c>
      <c r="D394" s="56">
        <v>42794</v>
      </c>
      <c r="E394" s="56">
        <v>42822</v>
      </c>
      <c r="F394" s="8">
        <v>11750.4</v>
      </c>
      <c r="G394" s="8">
        <v>14688</v>
      </c>
      <c r="H394" s="56">
        <v>42825</v>
      </c>
      <c r="I394" s="102">
        <v>14688</v>
      </c>
      <c r="J394" s="24"/>
      <c r="K394" s="45"/>
      <c r="L394"/>
    </row>
    <row r="395" spans="1:13" ht="24" x14ac:dyDescent="0.25">
      <c r="A395" s="1">
        <v>23</v>
      </c>
      <c r="B395" s="9" t="s">
        <v>202</v>
      </c>
      <c r="C395" s="10" t="str">
        <f>"027/2017-INGPRO"</f>
        <v>027/2017-INGPRO</v>
      </c>
      <c r="D395" s="56">
        <v>42790</v>
      </c>
      <c r="E395" s="56">
        <v>42797</v>
      </c>
      <c r="F395" s="8">
        <v>1231.7</v>
      </c>
      <c r="G395" s="8">
        <v>1539.63</v>
      </c>
      <c r="H395" s="56">
        <v>42825</v>
      </c>
      <c r="I395" s="102">
        <v>1539.625</v>
      </c>
      <c r="J395" s="24"/>
      <c r="K395" s="45"/>
      <c r="L395"/>
    </row>
    <row r="396" spans="1:13" ht="24" x14ac:dyDescent="0.25">
      <c r="A396" s="1">
        <v>24</v>
      </c>
      <c r="B396" s="9" t="s">
        <v>18</v>
      </c>
      <c r="C396" s="10" t="str">
        <f>"SNUG-202-17-015-5"</f>
        <v>SNUG-202-17-015-5</v>
      </c>
      <c r="D396" s="56">
        <v>42788</v>
      </c>
      <c r="E396" s="56">
        <v>42825</v>
      </c>
      <c r="F396" s="8">
        <v>241249.74</v>
      </c>
      <c r="G396" s="8">
        <v>301562.18</v>
      </c>
      <c r="H396" s="56">
        <v>42825</v>
      </c>
      <c r="I396" s="102">
        <v>301562.17499999999</v>
      </c>
      <c r="J396" s="24"/>
      <c r="K396" s="45"/>
      <c r="L396"/>
    </row>
    <row r="397" spans="1:13" ht="24" x14ac:dyDescent="0.25">
      <c r="A397" s="1">
        <v>25</v>
      </c>
      <c r="B397" s="9" t="s">
        <v>187</v>
      </c>
      <c r="C397" s="10" t="str">
        <f>"802/01-16/05OS-5-U1"</f>
        <v>802/01-16/05OS-5-U1</v>
      </c>
      <c r="D397" s="56">
        <v>42776</v>
      </c>
      <c r="E397" s="56">
        <v>43141</v>
      </c>
      <c r="F397" s="8">
        <v>59013.599999999999</v>
      </c>
      <c r="G397" s="8">
        <v>73767</v>
      </c>
      <c r="H397" s="56">
        <v>42916</v>
      </c>
      <c r="I397" s="102">
        <v>74097.425000000003</v>
      </c>
      <c r="J397" s="24"/>
      <c r="K397" s="45"/>
      <c r="L397"/>
    </row>
    <row r="398" spans="1:13" ht="36" x14ac:dyDescent="0.25">
      <c r="A398" s="1">
        <v>26</v>
      </c>
      <c r="B398" s="9" t="s">
        <v>188</v>
      </c>
      <c r="C398" s="10" t="str">
        <f>"6-2017"</f>
        <v>6-2017</v>
      </c>
      <c r="D398" s="56">
        <v>42765</v>
      </c>
      <c r="E398" s="56">
        <v>42765</v>
      </c>
      <c r="F398" s="8">
        <v>5604</v>
      </c>
      <c r="G398" s="8">
        <v>7005</v>
      </c>
      <c r="H398" s="56">
        <v>42825</v>
      </c>
      <c r="I398" s="102">
        <v>7005</v>
      </c>
      <c r="J398" s="24"/>
      <c r="K398" s="45"/>
      <c r="L398"/>
    </row>
    <row r="399" spans="1:13" ht="36" x14ac:dyDescent="0.25">
      <c r="A399" s="1">
        <v>27</v>
      </c>
      <c r="B399" s="9" t="s">
        <v>97</v>
      </c>
      <c r="C399" s="10" t="str">
        <f>"519-02-3/1-17-23"</f>
        <v>519-02-3/1-17-23</v>
      </c>
      <c r="D399" s="56">
        <v>42762</v>
      </c>
      <c r="E399" s="56">
        <v>43100</v>
      </c>
      <c r="F399" s="8">
        <v>84060</v>
      </c>
      <c r="G399" s="8">
        <v>105075</v>
      </c>
      <c r="H399" s="56">
        <v>43012</v>
      </c>
      <c r="I399" s="102">
        <v>101572.5</v>
      </c>
      <c r="J399" s="24"/>
      <c r="K399" s="45"/>
      <c r="L399"/>
    </row>
    <row r="400" spans="1:13" ht="24" x14ac:dyDescent="0.25">
      <c r="A400" s="1">
        <v>28</v>
      </c>
      <c r="B400" s="9" t="s">
        <v>203</v>
      </c>
      <c r="C400" s="10" t="str">
        <f>"NARUDŽBENICE XEROX 2017."</f>
        <v>NARUDŽBENICE XEROX 2017.</v>
      </c>
      <c r="D400" s="56">
        <v>42744</v>
      </c>
      <c r="E400" s="56">
        <v>42811</v>
      </c>
      <c r="F400" s="8">
        <v>23931.599999999999</v>
      </c>
      <c r="G400" s="8">
        <v>29914.5</v>
      </c>
      <c r="H400" s="56">
        <v>42825</v>
      </c>
      <c r="I400" s="102">
        <v>29914.5</v>
      </c>
      <c r="J400" s="24"/>
      <c r="K400" s="45"/>
      <c r="L400"/>
    </row>
    <row r="401" spans="1:12" ht="24" x14ac:dyDescent="0.25">
      <c r="A401" s="1">
        <v>29</v>
      </c>
      <c r="B401" s="9" t="s">
        <v>205</v>
      </c>
      <c r="C401" s="10" t="str">
        <f>"MRMS-XEROX-2017"</f>
        <v>MRMS-XEROX-2017</v>
      </c>
      <c r="D401" s="56">
        <v>42737</v>
      </c>
      <c r="E401" s="56">
        <v>43100</v>
      </c>
      <c r="F401" s="8">
        <v>25000</v>
      </c>
      <c r="G401" s="8">
        <v>31250</v>
      </c>
      <c r="H401" s="56">
        <v>43100</v>
      </c>
      <c r="I401" s="102">
        <v>16093.875</v>
      </c>
      <c r="J401" s="24"/>
      <c r="K401" s="45"/>
      <c r="L401"/>
    </row>
    <row r="402" spans="1:12" ht="36" x14ac:dyDescent="0.25">
      <c r="A402" s="1">
        <v>30</v>
      </c>
      <c r="B402" s="9" t="s">
        <v>206</v>
      </c>
      <c r="C402" s="10" t="str">
        <f>"NARUDŽBENICE TONERI GRUPA 5"</f>
        <v>NARUDŽBENICE TONERI GRUPA 5</v>
      </c>
      <c r="D402" s="56">
        <v>42736</v>
      </c>
      <c r="E402" s="56">
        <v>43100</v>
      </c>
      <c r="F402" s="8">
        <v>16000</v>
      </c>
      <c r="G402" s="8">
        <v>20000</v>
      </c>
      <c r="H402" s="56">
        <v>43100</v>
      </c>
      <c r="I402" s="102">
        <v>14151</v>
      </c>
      <c r="J402" s="24"/>
      <c r="K402" s="45"/>
      <c r="L402"/>
    </row>
    <row r="403" spans="1:12" ht="36" x14ac:dyDescent="0.25">
      <c r="A403" s="1">
        <v>31</v>
      </c>
      <c r="B403" s="9" t="s">
        <v>208</v>
      </c>
      <c r="C403" s="10" t="str">
        <f>"NAR2017-TONERI 5"</f>
        <v>NAR2017-TONERI 5</v>
      </c>
      <c r="D403" s="56">
        <v>42736</v>
      </c>
      <c r="E403" s="56">
        <v>43008</v>
      </c>
      <c r="F403" s="8">
        <v>25470</v>
      </c>
      <c r="G403" s="8">
        <v>31837.5</v>
      </c>
      <c r="H403" s="56">
        <v>43008</v>
      </c>
      <c r="I403" s="102">
        <v>31837.5</v>
      </c>
      <c r="J403" s="24"/>
      <c r="K403" s="45"/>
      <c r="L403"/>
    </row>
    <row r="404" spans="1:12" ht="24" x14ac:dyDescent="0.25">
      <c r="A404" s="1">
        <v>32</v>
      </c>
      <c r="B404" s="9" t="s">
        <v>207</v>
      </c>
      <c r="C404" s="10" t="str">
        <f>"NAR 2017 - TONERI 5"</f>
        <v>NAR 2017 - TONERI 5</v>
      </c>
      <c r="D404" s="56">
        <v>42736</v>
      </c>
      <c r="E404" s="56">
        <v>43008</v>
      </c>
      <c r="F404" s="8">
        <v>446.4</v>
      </c>
      <c r="G404" s="8">
        <v>558</v>
      </c>
      <c r="H404" s="56">
        <v>43008</v>
      </c>
      <c r="I404" s="102">
        <v>558</v>
      </c>
      <c r="J404" s="24"/>
      <c r="K404" s="45"/>
      <c r="L404"/>
    </row>
    <row r="405" spans="1:12" x14ac:dyDescent="0.25">
      <c r="A405" s="1">
        <v>33</v>
      </c>
      <c r="B405" s="9" t="s">
        <v>17</v>
      </c>
      <c r="C405" s="10" t="str">
        <f>"14-DUSJN/16-5"</f>
        <v>14-DUSJN/16-5</v>
      </c>
      <c r="D405" s="56">
        <v>42671</v>
      </c>
      <c r="E405" s="56">
        <v>43036</v>
      </c>
      <c r="F405" s="8">
        <v>137005.20000000001</v>
      </c>
      <c r="G405" s="8">
        <v>171256.5</v>
      </c>
      <c r="H405" s="56">
        <v>43036</v>
      </c>
      <c r="I405" s="102">
        <v>285985.97499999998</v>
      </c>
      <c r="J405" s="24"/>
      <c r="K405" s="45"/>
      <c r="L405"/>
    </row>
    <row r="406" spans="1:12" ht="24" x14ac:dyDescent="0.25">
      <c r="A406" s="1">
        <v>34</v>
      </c>
      <c r="B406" s="9" t="s">
        <v>195</v>
      </c>
      <c r="C406" s="10" t="str">
        <f>"61003-1/2016 GRUPA 5"</f>
        <v>61003-1/2016 GRUPA 5</v>
      </c>
      <c r="D406" s="56">
        <v>42657</v>
      </c>
      <c r="E406" s="56">
        <v>43022</v>
      </c>
      <c r="F406" s="8">
        <v>214406.96</v>
      </c>
      <c r="G406" s="8">
        <v>268008.7</v>
      </c>
      <c r="H406" s="56">
        <v>43022</v>
      </c>
      <c r="I406" s="102">
        <v>139617.75</v>
      </c>
      <c r="J406" s="24"/>
      <c r="K406" s="45"/>
      <c r="L406"/>
    </row>
    <row r="407" spans="1:12" ht="24" x14ac:dyDescent="0.25">
      <c r="A407" s="1">
        <v>35</v>
      </c>
      <c r="B407" s="9" t="s">
        <v>185</v>
      </c>
      <c r="C407" s="10" t="str">
        <f>"14/2015-5 UGOVOR"</f>
        <v>14/2015-5 UGOVOR</v>
      </c>
      <c r="D407" s="56">
        <v>42642</v>
      </c>
      <c r="E407" s="56">
        <v>43007</v>
      </c>
      <c r="F407" s="8">
        <v>130431</v>
      </c>
      <c r="G407" s="8">
        <v>163038.75</v>
      </c>
      <c r="H407" s="56">
        <v>43007</v>
      </c>
      <c r="I407" s="102">
        <v>89223.174999999988</v>
      </c>
      <c r="J407" s="24"/>
      <c r="K407" s="45"/>
      <c r="L407"/>
    </row>
    <row r="408" spans="1:12" ht="24" x14ac:dyDescent="0.25">
      <c r="A408" s="1">
        <v>36</v>
      </c>
      <c r="B408" s="9" t="s">
        <v>196</v>
      </c>
      <c r="C408" s="10" t="str">
        <f>"MGPU 14/2015-5"</f>
        <v>MGPU 14/2015-5</v>
      </c>
      <c r="D408" s="56">
        <v>42633</v>
      </c>
      <c r="E408" s="56">
        <v>42998</v>
      </c>
      <c r="F408" s="8">
        <v>323521</v>
      </c>
      <c r="G408" s="8">
        <v>404401.25</v>
      </c>
      <c r="H408" s="56">
        <v>42998</v>
      </c>
      <c r="I408" s="102">
        <v>223443.80000000002</v>
      </c>
      <c r="J408" s="24"/>
      <c r="K408" s="45"/>
      <c r="L408"/>
    </row>
    <row r="409" spans="1:12" ht="24" x14ac:dyDescent="0.25">
      <c r="A409" s="1">
        <v>37</v>
      </c>
      <c r="B409" s="9" t="s">
        <v>186</v>
      </c>
      <c r="C409" s="10" t="str">
        <f>"406-01/16-01/0143"</f>
        <v>406-01/16-01/0143</v>
      </c>
      <c r="D409" s="56">
        <v>42632</v>
      </c>
      <c r="E409" s="56">
        <v>42996</v>
      </c>
      <c r="F409" s="8">
        <v>179129.2</v>
      </c>
      <c r="G409" s="8">
        <v>223911.5</v>
      </c>
      <c r="H409" s="56">
        <v>42996</v>
      </c>
      <c r="I409" s="105">
        <v>135103.70000000001</v>
      </c>
      <c r="J409" s="61"/>
      <c r="K409" s="45"/>
      <c r="L409"/>
    </row>
    <row r="410" spans="1:12" ht="24" x14ac:dyDescent="0.25">
      <c r="A410" s="1">
        <v>38</v>
      </c>
      <c r="B410" s="9" t="s">
        <v>210</v>
      </c>
      <c r="C410" s="10" t="str">
        <f>"PU - GRUPA 5 - URBR:16-4"</f>
        <v>PU - GRUPA 5 - URBR:16-4</v>
      </c>
      <c r="D410" s="56">
        <v>42626</v>
      </c>
      <c r="E410" s="56">
        <v>42991</v>
      </c>
      <c r="F410" s="8">
        <v>652848</v>
      </c>
      <c r="G410" s="8">
        <v>816060</v>
      </c>
      <c r="H410" s="56">
        <v>42991</v>
      </c>
      <c r="I410" s="103">
        <v>503247.27500000002</v>
      </c>
      <c r="J410" s="37"/>
      <c r="K410" s="45"/>
      <c r="L410"/>
    </row>
    <row r="411" spans="1:12" x14ac:dyDescent="0.25">
      <c r="A411" s="1">
        <v>39</v>
      </c>
      <c r="B411" s="9" t="s">
        <v>278</v>
      </c>
      <c r="C411" s="10" t="str">
        <f>"109/2016."</f>
        <v>109/2016.</v>
      </c>
      <c r="D411" s="56">
        <v>42619</v>
      </c>
      <c r="E411" s="56">
        <v>43330</v>
      </c>
      <c r="F411" s="8">
        <v>730550.4</v>
      </c>
      <c r="G411" s="8">
        <v>913188</v>
      </c>
      <c r="H411" s="56">
        <v>43100</v>
      </c>
      <c r="I411" s="103">
        <v>451041.85</v>
      </c>
      <c r="J411" s="37"/>
      <c r="K411" s="45"/>
      <c r="L411"/>
    </row>
    <row r="412" spans="1:12" ht="36" x14ac:dyDescent="0.25">
      <c r="A412" s="1">
        <v>40</v>
      </c>
      <c r="B412" s="9" t="s">
        <v>189</v>
      </c>
      <c r="C412" s="10" t="str">
        <f>"524/2016"</f>
        <v>524/2016</v>
      </c>
      <c r="D412" s="56">
        <v>42661</v>
      </c>
      <c r="E412" s="56">
        <v>43330</v>
      </c>
      <c r="F412" s="8">
        <v>4046.4</v>
      </c>
      <c r="G412" s="8">
        <v>5058</v>
      </c>
      <c r="H412" s="56">
        <v>43100</v>
      </c>
      <c r="I412" s="103">
        <v>5058</v>
      </c>
      <c r="J412" s="37"/>
      <c r="K412" s="45"/>
      <c r="L412"/>
    </row>
    <row r="413" spans="1:12" x14ac:dyDescent="0.25">
      <c r="A413" s="1">
        <v>41</v>
      </c>
      <c r="B413" s="9" t="s">
        <v>212</v>
      </c>
      <c r="C413" s="10" t="str">
        <f>"14/2015- 5"</f>
        <v>14/2015- 5</v>
      </c>
      <c r="D413" s="56">
        <v>42600</v>
      </c>
      <c r="E413" s="56">
        <v>43330</v>
      </c>
      <c r="F413" s="8">
        <v>674</v>
      </c>
      <c r="G413" s="8">
        <v>842.5</v>
      </c>
      <c r="H413" s="56">
        <v>43100</v>
      </c>
      <c r="I413" s="103">
        <v>842.5</v>
      </c>
      <c r="J413" s="37"/>
      <c r="K413" s="45"/>
      <c r="L413"/>
    </row>
    <row r="414" spans="1:12" ht="36" x14ac:dyDescent="0.25">
      <c r="A414" s="1">
        <v>42</v>
      </c>
      <c r="B414" s="9" t="s">
        <v>191</v>
      </c>
      <c r="C414" s="10" t="str">
        <f>"MFIN-NARUDŽBENICE"</f>
        <v>MFIN-NARUDŽBENICE</v>
      </c>
      <c r="D414" s="56">
        <v>42719</v>
      </c>
      <c r="E414" s="56">
        <v>42825</v>
      </c>
      <c r="F414" s="8">
        <v>39767.599999999999</v>
      </c>
      <c r="G414" s="8">
        <v>49709.5</v>
      </c>
      <c r="H414" s="56">
        <v>42825</v>
      </c>
      <c r="I414" s="103">
        <v>49709.5</v>
      </c>
      <c r="J414" s="37"/>
      <c r="K414" s="45"/>
      <c r="L414"/>
    </row>
    <row r="415" spans="1:12" ht="24" x14ac:dyDescent="0.25">
      <c r="A415" s="1">
        <v>43</v>
      </c>
      <c r="B415" s="9" t="s">
        <v>209</v>
      </c>
      <c r="C415" s="10" t="str">
        <f>"406-01/16-01/63 TIT GR.5"</f>
        <v>406-01/16-01/63 TIT GR.5</v>
      </c>
      <c r="D415" s="56">
        <v>42780</v>
      </c>
      <c r="E415" s="56">
        <v>43330</v>
      </c>
      <c r="F415" s="8">
        <v>30902.400000000001</v>
      </c>
      <c r="G415" s="8">
        <v>38628</v>
      </c>
      <c r="H415" s="56">
        <v>43100</v>
      </c>
      <c r="I415" s="103">
        <v>31845</v>
      </c>
      <c r="J415" s="37"/>
      <c r="K415" s="45"/>
      <c r="L415"/>
    </row>
    <row r="416" spans="1:12" ht="24" x14ac:dyDescent="0.25">
      <c r="A416" s="1">
        <v>44</v>
      </c>
      <c r="B416" s="9" t="s">
        <v>199</v>
      </c>
      <c r="C416" s="10" t="str">
        <f>"14/2015-5-MHB"</f>
        <v>14/2015-5-MHB</v>
      </c>
      <c r="D416" s="56">
        <v>42600</v>
      </c>
      <c r="E416" s="56">
        <v>43330</v>
      </c>
      <c r="F416" s="8">
        <v>0</v>
      </c>
      <c r="G416" s="8">
        <v>0</v>
      </c>
      <c r="H416" s="56">
        <v>43100</v>
      </c>
      <c r="I416" s="103">
        <v>6158.5</v>
      </c>
      <c r="J416" s="37"/>
      <c r="K416" s="45"/>
      <c r="L416"/>
    </row>
    <row r="417" spans="1:14" ht="7.5" customHeight="1" x14ac:dyDescent="0.25"/>
    <row r="418" spans="1:14" x14ac:dyDescent="0.25">
      <c r="A418" s="175" t="s">
        <v>41</v>
      </c>
      <c r="B418" s="175"/>
      <c r="C418" s="175"/>
      <c r="D418" s="175"/>
      <c r="E418" s="175"/>
      <c r="F418" s="175"/>
      <c r="G418" s="175"/>
      <c r="H418" s="175"/>
      <c r="I418" s="175"/>
      <c r="J418" s="175"/>
      <c r="K418" s="175"/>
      <c r="L418" s="175"/>
      <c r="M418" s="175"/>
      <c r="N418" s="175"/>
    </row>
    <row r="419" spans="1:14" ht="36" x14ac:dyDescent="0.25">
      <c r="A419" s="53" t="s">
        <v>0</v>
      </c>
      <c r="B419" s="54" t="s">
        <v>1</v>
      </c>
      <c r="C419" s="54" t="s">
        <v>3</v>
      </c>
      <c r="D419" s="178" t="s">
        <v>171</v>
      </c>
      <c r="E419" s="178"/>
      <c r="F419" s="54" t="s">
        <v>166</v>
      </c>
      <c r="G419" s="54" t="s">
        <v>170</v>
      </c>
      <c r="H419" s="54" t="s">
        <v>167</v>
      </c>
      <c r="I419" s="54" t="s">
        <v>4</v>
      </c>
      <c r="J419" s="54" t="s">
        <v>5</v>
      </c>
      <c r="K419" s="54" t="s">
        <v>2</v>
      </c>
      <c r="L419" s="54" t="s">
        <v>172</v>
      </c>
      <c r="M419" s="54" t="s">
        <v>173</v>
      </c>
      <c r="N419" s="54" t="s">
        <v>169</v>
      </c>
    </row>
    <row r="420" spans="1:14" ht="49.5" customHeight="1" x14ac:dyDescent="0.25">
      <c r="A420" s="1">
        <v>1</v>
      </c>
      <c r="B420" s="4" t="s">
        <v>53</v>
      </c>
      <c r="C420" s="1" t="s">
        <v>79</v>
      </c>
      <c r="D420" s="179" t="s">
        <v>1017</v>
      </c>
      <c r="E420" s="180"/>
      <c r="F420" s="38" t="s">
        <v>99</v>
      </c>
      <c r="G420" s="38" t="s">
        <v>184</v>
      </c>
      <c r="H420" s="1" t="s">
        <v>15</v>
      </c>
      <c r="I420" s="15">
        <v>42600</v>
      </c>
      <c r="J420" s="1" t="s">
        <v>51</v>
      </c>
      <c r="K420" s="8">
        <v>2941852</v>
      </c>
      <c r="L420" s="8">
        <f>K420*0.25</f>
        <v>735463</v>
      </c>
      <c r="M420" s="8">
        <v>3677315</v>
      </c>
      <c r="N420" s="176"/>
    </row>
    <row r="421" spans="1:14" ht="15" customHeight="1" x14ac:dyDescent="0.25">
      <c r="A421" s="177" t="s">
        <v>1012</v>
      </c>
      <c r="B421" s="177"/>
      <c r="C421" s="177"/>
      <c r="D421" s="177"/>
      <c r="E421" s="177"/>
      <c r="F421" s="177"/>
      <c r="G421" s="177"/>
      <c r="H421" s="177"/>
      <c r="I421" s="177"/>
      <c r="J421" s="177"/>
      <c r="K421" s="177"/>
      <c r="L421" s="177"/>
      <c r="M421" s="8">
        <v>1420514.1</v>
      </c>
      <c r="N421" s="176"/>
    </row>
    <row r="422" spans="1:14" ht="7.5" customHeight="1" x14ac:dyDescent="0.25"/>
    <row r="423" spans="1:14" ht="15" customHeight="1" x14ac:dyDescent="0.25">
      <c r="A423" s="175" t="s">
        <v>12</v>
      </c>
      <c r="B423" s="175"/>
      <c r="C423" s="175"/>
      <c r="D423" s="175"/>
      <c r="E423" s="175"/>
      <c r="F423" s="175"/>
      <c r="G423" s="175"/>
      <c r="H423" s="175"/>
      <c r="I423" s="175"/>
      <c r="J423" s="175"/>
      <c r="K423" s="49"/>
      <c r="L423" s="49"/>
    </row>
    <row r="424" spans="1:14" ht="48" customHeight="1" x14ac:dyDescent="0.25">
      <c r="A424" s="2" t="s">
        <v>0</v>
      </c>
      <c r="B424" s="3" t="s">
        <v>7</v>
      </c>
      <c r="C424" s="3" t="s">
        <v>6</v>
      </c>
      <c r="D424" s="3" t="s">
        <v>8</v>
      </c>
      <c r="E424" s="3" t="s">
        <v>168</v>
      </c>
      <c r="F424" s="3" t="s">
        <v>174</v>
      </c>
      <c r="G424" s="3" t="s">
        <v>175</v>
      </c>
      <c r="H424" s="3" t="s">
        <v>9</v>
      </c>
      <c r="I424" s="3" t="s">
        <v>176</v>
      </c>
      <c r="J424" s="3" t="s">
        <v>10</v>
      </c>
      <c r="K424" s="48"/>
      <c r="L424" s="48"/>
      <c r="M424" s="48"/>
    </row>
    <row r="425" spans="1:14" ht="24" x14ac:dyDescent="0.25">
      <c r="A425" s="66">
        <v>1</v>
      </c>
      <c r="B425" s="6" t="s">
        <v>190</v>
      </c>
      <c r="C425" s="7" t="str">
        <f>"439/2017"</f>
        <v>439/2017</v>
      </c>
      <c r="D425" s="67">
        <v>43087</v>
      </c>
      <c r="E425" s="67">
        <v>43091</v>
      </c>
      <c r="F425" s="5">
        <v>1110</v>
      </c>
      <c r="G425" s="5">
        <v>1387.5</v>
      </c>
      <c r="H425" s="67">
        <v>43100</v>
      </c>
      <c r="I425" s="103">
        <v>29950</v>
      </c>
      <c r="J425" s="5"/>
      <c r="L425"/>
    </row>
    <row r="426" spans="1:14" ht="24" x14ac:dyDescent="0.25">
      <c r="A426" s="114">
        <v>2</v>
      </c>
      <c r="B426" s="6" t="s">
        <v>194</v>
      </c>
      <c r="C426" s="7" t="str">
        <f>"2428/17"</f>
        <v>2428/17</v>
      </c>
      <c r="D426" s="67">
        <v>43075</v>
      </c>
      <c r="E426" s="67">
        <v>43075</v>
      </c>
      <c r="F426" s="5">
        <v>4500</v>
      </c>
      <c r="G426" s="5">
        <v>5625</v>
      </c>
      <c r="H426" s="67">
        <v>43100</v>
      </c>
      <c r="I426" s="103">
        <v>5625</v>
      </c>
      <c r="J426" s="5"/>
      <c r="L426"/>
    </row>
    <row r="427" spans="1:14" ht="36" x14ac:dyDescent="0.25">
      <c r="A427" s="114">
        <v>3</v>
      </c>
      <c r="B427" s="6" t="s">
        <v>195</v>
      </c>
      <c r="C427" s="7" t="str">
        <f>"KL 406-09/17-04/107 GRUPA 6"</f>
        <v>KL 406-09/17-04/107 GRUPA 6</v>
      </c>
      <c r="D427" s="67">
        <v>43059</v>
      </c>
      <c r="E427" s="67">
        <v>43330</v>
      </c>
      <c r="F427" s="5">
        <v>269336</v>
      </c>
      <c r="G427" s="5">
        <v>336670</v>
      </c>
      <c r="H427" s="67">
        <v>43100</v>
      </c>
      <c r="I427" s="103">
        <v>68965</v>
      </c>
      <c r="J427" s="5"/>
      <c r="L427"/>
    </row>
    <row r="428" spans="1:14" ht="36" x14ac:dyDescent="0.25">
      <c r="A428" s="114">
        <v>4</v>
      </c>
      <c r="B428" s="6" t="s">
        <v>191</v>
      </c>
      <c r="C428" s="7" t="str">
        <f>"MFIN-NARUDŽBENICA"</f>
        <v>MFIN-NARUDŽBENICA</v>
      </c>
      <c r="D428" s="67">
        <v>43046</v>
      </c>
      <c r="E428" s="67">
        <v>43100</v>
      </c>
      <c r="F428" s="5">
        <v>2080</v>
      </c>
      <c r="G428" s="5">
        <v>2600</v>
      </c>
      <c r="H428" s="67">
        <v>43100</v>
      </c>
      <c r="I428" s="103">
        <v>2600</v>
      </c>
      <c r="J428" s="5"/>
      <c r="L428"/>
    </row>
    <row r="429" spans="1:14" ht="36" x14ac:dyDescent="0.25">
      <c r="A429" s="114">
        <v>5</v>
      </c>
      <c r="B429" s="6" t="s">
        <v>189</v>
      </c>
      <c r="C429" s="7" t="str">
        <f>"777/2017"</f>
        <v>777/2017</v>
      </c>
      <c r="D429" s="67">
        <v>43038</v>
      </c>
      <c r="E429" s="67">
        <v>43069</v>
      </c>
      <c r="F429" s="5">
        <v>2800</v>
      </c>
      <c r="G429" s="5">
        <v>3500</v>
      </c>
      <c r="H429" s="67">
        <v>43100</v>
      </c>
      <c r="I429" s="103">
        <v>3500</v>
      </c>
      <c r="J429" s="37"/>
      <c r="L429"/>
    </row>
    <row r="430" spans="1:14" ht="24" x14ac:dyDescent="0.25">
      <c r="A430" s="114">
        <v>6</v>
      </c>
      <c r="B430" s="6" t="s">
        <v>18</v>
      </c>
      <c r="C430" s="7" t="str">
        <f>"SNUG-202-17-061"</f>
        <v>SNUG-202-17-061</v>
      </c>
      <c r="D430" s="67">
        <v>43032</v>
      </c>
      <c r="E430" s="67">
        <v>43100</v>
      </c>
      <c r="F430" s="5">
        <v>43869</v>
      </c>
      <c r="G430" s="5">
        <v>54836.25</v>
      </c>
      <c r="H430" s="67">
        <v>43100</v>
      </c>
      <c r="I430" s="103">
        <v>54580</v>
      </c>
      <c r="J430" s="5"/>
      <c r="L430"/>
    </row>
    <row r="431" spans="1:14" ht="36" x14ac:dyDescent="0.25">
      <c r="A431" s="114">
        <v>7</v>
      </c>
      <c r="B431" s="6" t="s">
        <v>189</v>
      </c>
      <c r="C431" s="7" t="str">
        <f>"743/2017"</f>
        <v>743/2017</v>
      </c>
      <c r="D431" s="67">
        <v>43031</v>
      </c>
      <c r="E431" s="67">
        <v>43062</v>
      </c>
      <c r="F431" s="5">
        <v>7000</v>
      </c>
      <c r="G431" s="5">
        <v>8750</v>
      </c>
      <c r="H431" s="67">
        <v>43100</v>
      </c>
      <c r="I431" s="103">
        <v>8750</v>
      </c>
      <c r="J431" s="5"/>
      <c r="L431"/>
    </row>
    <row r="432" spans="1:14" ht="24" x14ac:dyDescent="0.25">
      <c r="A432" s="114">
        <v>8</v>
      </c>
      <c r="B432" s="6" t="s">
        <v>185</v>
      </c>
      <c r="C432" s="7" t="str">
        <f>"14/2015-6 UGOVOR2017"</f>
        <v>14/2015-6 UGOVOR2017</v>
      </c>
      <c r="D432" s="67">
        <v>43020</v>
      </c>
      <c r="E432" s="67">
        <v>43329</v>
      </c>
      <c r="F432" s="5">
        <v>95780</v>
      </c>
      <c r="G432" s="5">
        <v>119725</v>
      </c>
      <c r="H432" s="67">
        <v>43100</v>
      </c>
      <c r="I432" s="103">
        <v>23925</v>
      </c>
      <c r="J432" s="5"/>
      <c r="L432"/>
    </row>
    <row r="433" spans="1:12" ht="36" x14ac:dyDescent="0.25">
      <c r="A433" s="114">
        <v>9</v>
      </c>
      <c r="B433" s="6" t="s">
        <v>189</v>
      </c>
      <c r="C433" s="7" t="str">
        <f>"697/2017"</f>
        <v>697/2017</v>
      </c>
      <c r="D433" s="67">
        <v>43019</v>
      </c>
      <c r="E433" s="67">
        <v>43050</v>
      </c>
      <c r="F433" s="5">
        <v>3500</v>
      </c>
      <c r="G433" s="5">
        <v>4375</v>
      </c>
      <c r="H433" s="67">
        <v>43100</v>
      </c>
      <c r="I433" s="103">
        <v>4375</v>
      </c>
      <c r="J433" s="5"/>
      <c r="L433"/>
    </row>
    <row r="434" spans="1:12" ht="36" x14ac:dyDescent="0.25">
      <c r="A434" s="114">
        <v>10</v>
      </c>
      <c r="B434" s="6" t="s">
        <v>189</v>
      </c>
      <c r="C434" s="7" t="str">
        <f>"661/2017"</f>
        <v>661/2017</v>
      </c>
      <c r="D434" s="67">
        <v>43013</v>
      </c>
      <c r="E434" s="67">
        <v>43044</v>
      </c>
      <c r="F434" s="5">
        <v>1400</v>
      </c>
      <c r="G434" s="5">
        <v>1750</v>
      </c>
      <c r="H434" s="67">
        <v>43100</v>
      </c>
      <c r="I434" s="103">
        <v>1750</v>
      </c>
      <c r="J434" s="5"/>
      <c r="L434"/>
    </row>
    <row r="435" spans="1:12" ht="36" x14ac:dyDescent="0.25">
      <c r="A435" s="114">
        <v>11</v>
      </c>
      <c r="B435" s="6" t="s">
        <v>192</v>
      </c>
      <c r="C435" s="7" t="str">
        <f>"N-595, 697, 635, 626/2017"</f>
        <v>N-595, 697, 635, 626/2017</v>
      </c>
      <c r="D435" s="67">
        <v>43100</v>
      </c>
      <c r="E435" s="67">
        <v>43100</v>
      </c>
      <c r="F435" s="5">
        <v>16037.5</v>
      </c>
      <c r="G435" s="5">
        <v>20046.88</v>
      </c>
      <c r="H435" s="67">
        <v>43100</v>
      </c>
      <c r="I435" s="103">
        <v>20046.875</v>
      </c>
      <c r="J435" s="5"/>
      <c r="L435"/>
    </row>
    <row r="436" spans="1:12" ht="24" x14ac:dyDescent="0.25">
      <c r="A436" s="114">
        <v>12</v>
      </c>
      <c r="B436" s="6" t="s">
        <v>186</v>
      </c>
      <c r="C436" s="7" t="str">
        <f>"532-02-02-02/4-17-07"</f>
        <v>532-02-02-02/4-17-07</v>
      </c>
      <c r="D436" s="67">
        <v>42996</v>
      </c>
      <c r="E436" s="67">
        <v>43366</v>
      </c>
      <c r="F436" s="5">
        <v>20455</v>
      </c>
      <c r="G436" s="5">
        <v>25568.75</v>
      </c>
      <c r="H436" s="67">
        <v>43008</v>
      </c>
      <c r="I436" s="103">
        <v>0</v>
      </c>
      <c r="J436" s="5"/>
      <c r="L436"/>
    </row>
    <row r="437" spans="1:12" x14ac:dyDescent="0.25">
      <c r="A437" s="114">
        <v>13</v>
      </c>
      <c r="B437" s="6" t="s">
        <v>198</v>
      </c>
      <c r="C437" s="7" t="str">
        <f>"P/15225788"</f>
        <v>P/15225788</v>
      </c>
      <c r="D437" s="67">
        <v>42954</v>
      </c>
      <c r="E437" s="67">
        <v>43330</v>
      </c>
      <c r="F437" s="5">
        <v>139380</v>
      </c>
      <c r="G437" s="5">
        <v>174225</v>
      </c>
      <c r="H437" s="67">
        <v>43100</v>
      </c>
      <c r="I437" s="103">
        <v>19275</v>
      </c>
      <c r="J437" s="5"/>
      <c r="L437"/>
    </row>
    <row r="438" spans="1:12" ht="24" x14ac:dyDescent="0.25">
      <c r="A438" s="114">
        <v>14</v>
      </c>
      <c r="B438" s="6" t="s">
        <v>194</v>
      </c>
      <c r="C438" s="7" t="str">
        <f>"2215/17"</f>
        <v>2215/17</v>
      </c>
      <c r="D438" s="67">
        <v>42919</v>
      </c>
      <c r="E438" s="67">
        <v>42919</v>
      </c>
      <c r="F438" s="5">
        <v>6400</v>
      </c>
      <c r="G438" s="5">
        <v>8000</v>
      </c>
      <c r="H438" s="67">
        <v>43008</v>
      </c>
      <c r="I438" s="103">
        <v>8000</v>
      </c>
      <c r="J438" s="5"/>
      <c r="L438"/>
    </row>
    <row r="439" spans="1:12" ht="24" x14ac:dyDescent="0.25">
      <c r="A439" s="114">
        <v>15</v>
      </c>
      <c r="B439" s="6" t="s">
        <v>18</v>
      </c>
      <c r="C439" s="7" t="str">
        <f>"SNUG-202-17-048"</f>
        <v>SNUG-202-17-048</v>
      </c>
      <c r="D439" s="67">
        <v>42915</v>
      </c>
      <c r="E439" s="67">
        <v>43008</v>
      </c>
      <c r="F439" s="5">
        <v>51370</v>
      </c>
      <c r="G439" s="5">
        <v>64212.5</v>
      </c>
      <c r="H439" s="67">
        <v>43008</v>
      </c>
      <c r="I439" s="103">
        <v>64212.5</v>
      </c>
      <c r="J439" s="5"/>
      <c r="L439"/>
    </row>
    <row r="440" spans="1:12" ht="36" x14ac:dyDescent="0.25">
      <c r="A440" s="114">
        <v>16</v>
      </c>
      <c r="B440" s="6" t="s">
        <v>189</v>
      </c>
      <c r="C440" s="7" t="str">
        <f>"420/2017"</f>
        <v>420/2017</v>
      </c>
      <c r="D440" s="67">
        <v>42912</v>
      </c>
      <c r="E440" s="67">
        <v>42942</v>
      </c>
      <c r="F440" s="5">
        <v>4200</v>
      </c>
      <c r="G440" s="5">
        <v>5250</v>
      </c>
      <c r="H440" s="67">
        <v>43008</v>
      </c>
      <c r="I440" s="103">
        <v>5250</v>
      </c>
      <c r="J440" s="5"/>
      <c r="L440"/>
    </row>
    <row r="441" spans="1:12" ht="36" x14ac:dyDescent="0.25">
      <c r="A441" s="114">
        <v>17</v>
      </c>
      <c r="B441" s="6" t="s">
        <v>189</v>
      </c>
      <c r="C441" s="7" t="str">
        <f>"395/2017"</f>
        <v>395/2017</v>
      </c>
      <c r="D441" s="67">
        <v>42900</v>
      </c>
      <c r="E441" s="67">
        <v>42930</v>
      </c>
      <c r="F441" s="5">
        <v>4200</v>
      </c>
      <c r="G441" s="5">
        <v>5250</v>
      </c>
      <c r="H441" s="67">
        <v>43008</v>
      </c>
      <c r="I441" s="103">
        <v>5250</v>
      </c>
      <c r="J441" s="5"/>
      <c r="L441"/>
    </row>
    <row r="442" spans="1:12" ht="24" x14ac:dyDescent="0.25">
      <c r="A442" s="114">
        <v>18</v>
      </c>
      <c r="B442" s="6" t="s">
        <v>190</v>
      </c>
      <c r="C442" s="7" t="str">
        <f>"185/2017/R"</f>
        <v>185/2017/R</v>
      </c>
      <c r="D442" s="67">
        <v>42870</v>
      </c>
      <c r="E442" s="67">
        <v>42883</v>
      </c>
      <c r="F442" s="5">
        <v>10005</v>
      </c>
      <c r="G442" s="5">
        <v>12506.25</v>
      </c>
      <c r="H442" s="67">
        <v>42883</v>
      </c>
      <c r="I442" s="103">
        <v>12506.25</v>
      </c>
      <c r="J442" s="5"/>
      <c r="L442"/>
    </row>
    <row r="443" spans="1:12" ht="24" x14ac:dyDescent="0.25">
      <c r="A443" s="114">
        <v>19</v>
      </c>
      <c r="B443" s="6" t="s">
        <v>18</v>
      </c>
      <c r="C443" s="7" t="str">
        <f>"SNUG-202-17-032"</f>
        <v>SNUG-202-17-032</v>
      </c>
      <c r="D443" s="67">
        <v>42845</v>
      </c>
      <c r="E443" s="67">
        <v>42916</v>
      </c>
      <c r="F443" s="5">
        <v>76382</v>
      </c>
      <c r="G443" s="5">
        <v>95477.5</v>
      </c>
      <c r="H443" s="67">
        <v>42916</v>
      </c>
      <c r="I443" s="103">
        <v>95478.125</v>
      </c>
      <c r="J443" s="5"/>
      <c r="L443"/>
    </row>
    <row r="444" spans="1:12" x14ac:dyDescent="0.25">
      <c r="A444" s="114">
        <v>20</v>
      </c>
      <c r="B444" s="6" t="s">
        <v>16</v>
      </c>
      <c r="C444" s="7" t="str">
        <f>"167/2017"</f>
        <v>167/2017</v>
      </c>
      <c r="D444" s="67">
        <v>42600</v>
      </c>
      <c r="E444" s="67">
        <v>43330</v>
      </c>
      <c r="F444" s="5">
        <v>7550</v>
      </c>
      <c r="G444" s="5">
        <v>9437.5</v>
      </c>
      <c r="H444" s="67">
        <v>43100</v>
      </c>
      <c r="I444" s="103">
        <v>9437.5</v>
      </c>
      <c r="J444" s="5"/>
      <c r="L444"/>
    </row>
    <row r="445" spans="1:12" ht="36" x14ac:dyDescent="0.25">
      <c r="A445" s="114">
        <v>21</v>
      </c>
      <c r="B445" s="6" t="s">
        <v>192</v>
      </c>
      <c r="C445" s="7" t="str">
        <f>"N252/2017"</f>
        <v>N252/2017</v>
      </c>
      <c r="D445" s="67">
        <v>42837</v>
      </c>
      <c r="E445" s="67">
        <v>42916</v>
      </c>
      <c r="F445" s="5">
        <v>2700</v>
      </c>
      <c r="G445" s="5">
        <v>3375</v>
      </c>
      <c r="H445" s="67">
        <v>42916</v>
      </c>
      <c r="I445" s="103">
        <v>3375</v>
      </c>
      <c r="J445" s="37"/>
      <c r="L445"/>
    </row>
    <row r="446" spans="1:12" ht="36" x14ac:dyDescent="0.25">
      <c r="A446" s="114">
        <v>22</v>
      </c>
      <c r="B446" s="6" t="s">
        <v>191</v>
      </c>
      <c r="C446" s="7" t="str">
        <f>"MFIN-UŽI DIO-NARUDŽ ZA II KVAR"</f>
        <v>MFIN-UŽI DIO-NARUDŽ ZA II KVAR</v>
      </c>
      <c r="D446" s="67">
        <v>42826</v>
      </c>
      <c r="E446" s="67">
        <v>42916</v>
      </c>
      <c r="F446" s="5">
        <v>2940</v>
      </c>
      <c r="G446" s="5">
        <v>3675</v>
      </c>
      <c r="H446" s="67">
        <v>42916</v>
      </c>
      <c r="I446" s="107">
        <v>3675</v>
      </c>
      <c r="J446" s="4"/>
      <c r="L446"/>
    </row>
    <row r="447" spans="1:12" ht="36" x14ac:dyDescent="0.25">
      <c r="A447" s="114">
        <v>23</v>
      </c>
      <c r="B447" s="6" t="s">
        <v>189</v>
      </c>
      <c r="C447" s="7" t="str">
        <f>"144/2017"</f>
        <v>144/2017</v>
      </c>
      <c r="D447" s="67">
        <v>42800</v>
      </c>
      <c r="E447" s="67">
        <v>42831</v>
      </c>
      <c r="F447" s="5">
        <v>1400</v>
      </c>
      <c r="G447" s="5">
        <v>1750</v>
      </c>
      <c r="H447" s="67">
        <v>42831</v>
      </c>
      <c r="I447" s="107">
        <v>1750</v>
      </c>
      <c r="J447" s="4"/>
      <c r="L447"/>
    </row>
    <row r="448" spans="1:12" ht="24" x14ac:dyDescent="0.25">
      <c r="A448" s="114">
        <v>24</v>
      </c>
      <c r="B448" s="6" t="s">
        <v>18</v>
      </c>
      <c r="C448" s="7" t="str">
        <f>"SNUG-202-17-016"</f>
        <v>SNUG-202-17-016</v>
      </c>
      <c r="D448" s="67">
        <v>42786</v>
      </c>
      <c r="E448" s="67">
        <v>42825</v>
      </c>
      <c r="F448" s="5">
        <v>44938</v>
      </c>
      <c r="G448" s="5">
        <v>56172.5</v>
      </c>
      <c r="H448" s="67">
        <v>42825</v>
      </c>
      <c r="I448" s="107">
        <v>53685</v>
      </c>
      <c r="J448" s="4"/>
      <c r="L448"/>
    </row>
    <row r="449" spans="1:12" ht="24" x14ac:dyDescent="0.25">
      <c r="A449" s="114">
        <v>25</v>
      </c>
      <c r="B449" s="6" t="s">
        <v>203</v>
      </c>
      <c r="C449" s="7" t="str">
        <f>"NARUDŽBENICE G6 2017."</f>
        <v>NARUDŽBENICE G6 2017.</v>
      </c>
      <c r="D449" s="67">
        <v>42769</v>
      </c>
      <c r="E449" s="67">
        <v>42807</v>
      </c>
      <c r="F449" s="5">
        <v>3050</v>
      </c>
      <c r="G449" s="5">
        <v>3812.5</v>
      </c>
      <c r="H449" s="67">
        <v>42825</v>
      </c>
      <c r="I449" s="107">
        <v>3812.5</v>
      </c>
      <c r="J449" s="4"/>
      <c r="L449"/>
    </row>
    <row r="450" spans="1:12" ht="24" x14ac:dyDescent="0.25">
      <c r="A450" s="114">
        <v>26</v>
      </c>
      <c r="B450" s="6" t="s">
        <v>205</v>
      </c>
      <c r="C450" s="7" t="str">
        <f>"MRMS-OSTALI-2017"</f>
        <v>MRMS-OSTALI-2017</v>
      </c>
      <c r="D450" s="67">
        <v>42737</v>
      </c>
      <c r="E450" s="67">
        <v>43100</v>
      </c>
      <c r="F450" s="5">
        <v>38000</v>
      </c>
      <c r="G450" s="5">
        <v>47500</v>
      </c>
      <c r="H450" s="67">
        <v>43100</v>
      </c>
      <c r="I450" s="107">
        <v>19860</v>
      </c>
      <c r="J450" s="4"/>
      <c r="L450"/>
    </row>
    <row r="451" spans="1:12" ht="36" x14ac:dyDescent="0.25">
      <c r="A451" s="114">
        <v>27</v>
      </c>
      <c r="B451" s="6" t="s">
        <v>206</v>
      </c>
      <c r="C451" s="7" t="str">
        <f>"NARUDŽBENICA TONERI GRUPA 6"</f>
        <v>NARUDŽBENICA TONERI GRUPA 6</v>
      </c>
      <c r="D451" s="67">
        <v>42736</v>
      </c>
      <c r="E451" s="67">
        <v>43100</v>
      </c>
      <c r="F451" s="5">
        <v>16800</v>
      </c>
      <c r="G451" s="5">
        <v>21000</v>
      </c>
      <c r="H451" s="67">
        <v>43100</v>
      </c>
      <c r="I451" s="107">
        <v>18050</v>
      </c>
      <c r="J451" s="4"/>
      <c r="L451"/>
    </row>
    <row r="452" spans="1:12" ht="36" x14ac:dyDescent="0.25">
      <c r="A452" s="114">
        <v>28</v>
      </c>
      <c r="B452" s="6" t="s">
        <v>208</v>
      </c>
      <c r="C452" s="7" t="str">
        <f>"NAR2017-TONERI 6"</f>
        <v>NAR2017-TONERI 6</v>
      </c>
      <c r="D452" s="67">
        <v>42736</v>
      </c>
      <c r="E452" s="67">
        <v>43008</v>
      </c>
      <c r="F452" s="5">
        <v>1780</v>
      </c>
      <c r="G452" s="5">
        <v>2225</v>
      </c>
      <c r="H452" s="67">
        <v>43008</v>
      </c>
      <c r="I452" s="107">
        <v>2225</v>
      </c>
      <c r="J452" s="4"/>
      <c r="L452"/>
    </row>
    <row r="453" spans="1:12" ht="36" x14ac:dyDescent="0.25">
      <c r="A453" s="114">
        <v>29</v>
      </c>
      <c r="B453" s="6" t="s">
        <v>192</v>
      </c>
      <c r="C453" s="7" t="str">
        <f>"N28,63,64,206/2017"</f>
        <v>N28,63,64,206/2017</v>
      </c>
      <c r="D453" s="67">
        <v>42745</v>
      </c>
      <c r="E453" s="67">
        <v>42825</v>
      </c>
      <c r="F453" s="5">
        <v>7300</v>
      </c>
      <c r="G453" s="5">
        <v>9125</v>
      </c>
      <c r="H453" s="67">
        <v>42825</v>
      </c>
      <c r="I453" s="107">
        <v>9125</v>
      </c>
      <c r="J453" s="4"/>
      <c r="L453"/>
    </row>
    <row r="454" spans="1:12" ht="36" x14ac:dyDescent="0.25">
      <c r="A454" s="114">
        <v>30</v>
      </c>
      <c r="B454" s="6" t="s">
        <v>189</v>
      </c>
      <c r="C454" s="7" t="str">
        <f>"705/2016"</f>
        <v>705/2016</v>
      </c>
      <c r="D454" s="67">
        <v>42724</v>
      </c>
      <c r="E454" s="67">
        <v>42755</v>
      </c>
      <c r="F454" s="5">
        <v>1400</v>
      </c>
      <c r="G454" s="5">
        <v>1750</v>
      </c>
      <c r="H454" s="67">
        <v>42825</v>
      </c>
      <c r="I454" s="107">
        <v>1750</v>
      </c>
      <c r="J454" s="4"/>
      <c r="L454"/>
    </row>
    <row r="455" spans="1:12" ht="36" x14ac:dyDescent="0.25">
      <c r="A455" s="114">
        <v>31</v>
      </c>
      <c r="B455" s="6" t="s">
        <v>189</v>
      </c>
      <c r="C455" s="7" t="str">
        <f>"700/2016"</f>
        <v>700/2016</v>
      </c>
      <c r="D455" s="67">
        <v>42724</v>
      </c>
      <c r="E455" s="67">
        <v>42755</v>
      </c>
      <c r="F455" s="5">
        <v>3500</v>
      </c>
      <c r="G455" s="5">
        <v>4375</v>
      </c>
      <c r="H455" s="67">
        <v>42825</v>
      </c>
      <c r="I455" s="107">
        <v>4375</v>
      </c>
      <c r="J455" s="4"/>
      <c r="L455"/>
    </row>
    <row r="456" spans="1:12" ht="24" x14ac:dyDescent="0.25">
      <c r="A456" s="114">
        <v>32</v>
      </c>
      <c r="B456" s="6" t="s">
        <v>195</v>
      </c>
      <c r="C456" s="7" t="str">
        <f>"61103-2/2016 GRUPA 6"</f>
        <v>61103-2/2016 GRUPA 6</v>
      </c>
      <c r="D456" s="67">
        <v>42685</v>
      </c>
      <c r="E456" s="67">
        <v>43050</v>
      </c>
      <c r="F456" s="5">
        <v>269336</v>
      </c>
      <c r="G456" s="5">
        <v>336670</v>
      </c>
      <c r="H456" s="67">
        <v>43050</v>
      </c>
      <c r="I456" s="107">
        <v>334615.46250000002</v>
      </c>
      <c r="J456" s="4"/>
      <c r="L456"/>
    </row>
    <row r="457" spans="1:12" ht="24" x14ac:dyDescent="0.25">
      <c r="A457" s="114">
        <v>33</v>
      </c>
      <c r="B457" s="6" t="s">
        <v>195</v>
      </c>
      <c r="C457" s="7" t="str">
        <f>"61003-2/2016 GRUPA 6"</f>
        <v>61003-2/2016 GRUPA 6</v>
      </c>
      <c r="D457" s="67">
        <v>42685</v>
      </c>
      <c r="E457" s="67">
        <v>43050</v>
      </c>
      <c r="F457" s="5">
        <v>269336</v>
      </c>
      <c r="G457" s="5">
        <v>336670</v>
      </c>
      <c r="H457" s="164"/>
      <c r="I457" s="165">
        <v>0</v>
      </c>
      <c r="J457" s="4"/>
      <c r="L457"/>
    </row>
    <row r="458" spans="1:12" ht="24" x14ac:dyDescent="0.25">
      <c r="A458" s="114">
        <v>34</v>
      </c>
      <c r="B458" s="6" t="s">
        <v>187</v>
      </c>
      <c r="C458" s="7" t="str">
        <f>"802/01-16/05OS-6-U1"</f>
        <v>802/01-16/05OS-6-U1</v>
      </c>
      <c r="D458" s="67">
        <v>42654</v>
      </c>
      <c r="E458" s="67">
        <v>43019</v>
      </c>
      <c r="F458" s="5">
        <v>61440</v>
      </c>
      <c r="G458" s="5">
        <v>76800</v>
      </c>
      <c r="H458" s="67">
        <v>42916</v>
      </c>
      <c r="I458" s="107">
        <v>38187.5</v>
      </c>
      <c r="J458" s="4"/>
      <c r="L458"/>
    </row>
    <row r="459" spans="1:12" x14ac:dyDescent="0.25">
      <c r="A459" s="114">
        <v>35</v>
      </c>
      <c r="B459" s="6" t="s">
        <v>17</v>
      </c>
      <c r="C459" s="7" t="str">
        <f>"14-DUSJN/16-6"</f>
        <v>14-DUSJN/16-6</v>
      </c>
      <c r="D459" s="67">
        <v>42654</v>
      </c>
      <c r="E459" s="67">
        <v>43019</v>
      </c>
      <c r="F459" s="5">
        <v>16380</v>
      </c>
      <c r="G459" s="5">
        <v>20475</v>
      </c>
      <c r="H459" s="67">
        <v>43019</v>
      </c>
      <c r="I459" s="107">
        <v>33425</v>
      </c>
      <c r="J459" s="4"/>
      <c r="L459"/>
    </row>
    <row r="460" spans="1:12" ht="24" x14ac:dyDescent="0.25">
      <c r="A460" s="114">
        <v>36</v>
      </c>
      <c r="B460" s="6" t="s">
        <v>185</v>
      </c>
      <c r="C460" s="7" t="str">
        <f>"14/2015-6 UGOVOR"</f>
        <v>14/2015-6 UGOVOR</v>
      </c>
      <c r="D460" s="67">
        <v>42642</v>
      </c>
      <c r="E460" s="67">
        <v>43007</v>
      </c>
      <c r="F460" s="5">
        <v>106275</v>
      </c>
      <c r="G460" s="5">
        <v>132843.75</v>
      </c>
      <c r="H460" s="67">
        <v>43007</v>
      </c>
      <c r="I460" s="107">
        <v>104681.25</v>
      </c>
      <c r="J460" s="4"/>
      <c r="L460"/>
    </row>
    <row r="461" spans="1:12" ht="24" x14ac:dyDescent="0.25">
      <c r="A461" s="114">
        <v>37</v>
      </c>
      <c r="B461" s="6" t="s">
        <v>193</v>
      </c>
      <c r="C461" s="7" t="str">
        <f>"45-4-16-3"</f>
        <v>45-4-16-3</v>
      </c>
      <c r="D461" s="67">
        <v>42639</v>
      </c>
      <c r="E461" s="67">
        <v>43330</v>
      </c>
      <c r="F461" s="5">
        <v>47020</v>
      </c>
      <c r="G461" s="5">
        <v>58775</v>
      </c>
      <c r="H461" s="67">
        <v>43100</v>
      </c>
      <c r="I461" s="107">
        <v>1710</v>
      </c>
      <c r="J461" s="4"/>
      <c r="L461"/>
    </row>
    <row r="462" spans="1:12" ht="24" x14ac:dyDescent="0.25">
      <c r="A462" s="114">
        <v>38</v>
      </c>
      <c r="B462" s="6" t="s">
        <v>186</v>
      </c>
      <c r="C462" s="7" t="str">
        <f>"406-01/16-01/0142"</f>
        <v>406-01/16-01/0142</v>
      </c>
      <c r="D462" s="67">
        <v>42636</v>
      </c>
      <c r="E462" s="67">
        <v>43000</v>
      </c>
      <c r="F462" s="5">
        <v>20455</v>
      </c>
      <c r="G462" s="5">
        <v>25568.75</v>
      </c>
      <c r="H462" s="67">
        <v>43000</v>
      </c>
      <c r="I462" s="107">
        <v>2000</v>
      </c>
      <c r="J462" s="4"/>
      <c r="L462"/>
    </row>
    <row r="463" spans="1:12" x14ac:dyDescent="0.25">
      <c r="A463" s="114">
        <v>39</v>
      </c>
      <c r="B463" s="6" t="s">
        <v>278</v>
      </c>
      <c r="C463" s="7" t="str">
        <f>"110/2016"</f>
        <v>110/2016</v>
      </c>
      <c r="D463" s="67">
        <v>42632</v>
      </c>
      <c r="E463" s="67">
        <v>43330</v>
      </c>
      <c r="F463" s="5">
        <v>147920</v>
      </c>
      <c r="G463" s="5">
        <v>184900</v>
      </c>
      <c r="H463" s="67">
        <v>43100</v>
      </c>
      <c r="I463" s="107">
        <v>97422.5</v>
      </c>
      <c r="J463" s="4"/>
      <c r="L463"/>
    </row>
    <row r="464" spans="1:12" x14ac:dyDescent="0.25">
      <c r="A464" s="114">
        <v>40</v>
      </c>
      <c r="B464" s="6" t="s">
        <v>210</v>
      </c>
      <c r="C464" s="7" t="str">
        <f>"PU - GRUPA 6"</f>
        <v>PU - GRUPA 6</v>
      </c>
      <c r="D464" s="67">
        <v>42621</v>
      </c>
      <c r="E464" s="67">
        <v>42986</v>
      </c>
      <c r="F464" s="5">
        <v>204100</v>
      </c>
      <c r="G464" s="5">
        <v>255125</v>
      </c>
      <c r="H464" s="67">
        <v>42825</v>
      </c>
      <c r="I464" s="107">
        <v>60957.387500000004</v>
      </c>
      <c r="J464" s="4"/>
      <c r="L464"/>
    </row>
    <row r="465" spans="1:12" x14ac:dyDescent="0.25">
      <c r="A465" s="114">
        <v>41</v>
      </c>
      <c r="B465" s="6" t="s">
        <v>198</v>
      </c>
      <c r="C465" s="7" t="str">
        <f>"P/14415611"</f>
        <v>P/14415611</v>
      </c>
      <c r="D465" s="67">
        <v>42612</v>
      </c>
      <c r="E465" s="67">
        <v>42977</v>
      </c>
      <c r="F465" s="5">
        <v>121430</v>
      </c>
      <c r="G465" s="5">
        <v>151787.5</v>
      </c>
      <c r="H465" s="67">
        <v>43008</v>
      </c>
      <c r="I465" s="107">
        <v>90825</v>
      </c>
      <c r="J465" s="4"/>
      <c r="L465"/>
    </row>
    <row r="466" spans="1:12" ht="24" x14ac:dyDescent="0.25">
      <c r="A466" s="114">
        <v>42</v>
      </c>
      <c r="B466" s="6" t="s">
        <v>199</v>
      </c>
      <c r="C466" s="7" t="str">
        <f>"14/2015-6-MHB"</f>
        <v>14/2015-6-MHB</v>
      </c>
      <c r="D466" s="67">
        <v>42600</v>
      </c>
      <c r="E466" s="67">
        <v>43330</v>
      </c>
      <c r="F466" s="5">
        <v>0</v>
      </c>
      <c r="G466" s="5">
        <v>0</v>
      </c>
      <c r="H466" s="67">
        <v>43100</v>
      </c>
      <c r="I466" s="107">
        <v>85050</v>
      </c>
      <c r="J466" s="4"/>
      <c r="L466"/>
    </row>
    <row r="467" spans="1:12" x14ac:dyDescent="0.25">
      <c r="A467" s="114">
        <v>43</v>
      </c>
      <c r="B467" s="6" t="s">
        <v>212</v>
      </c>
      <c r="C467" s="7" t="str">
        <f>"14/2015- 6"</f>
        <v>14/2015- 6</v>
      </c>
      <c r="D467" s="67">
        <v>42600</v>
      </c>
      <c r="E467" s="67">
        <v>43330</v>
      </c>
      <c r="F467" s="5">
        <v>0</v>
      </c>
      <c r="G467" s="5">
        <v>0</v>
      </c>
      <c r="H467" s="67">
        <v>43100</v>
      </c>
      <c r="I467" s="107">
        <v>0</v>
      </c>
      <c r="J467" s="4"/>
      <c r="L467"/>
    </row>
    <row r="468" spans="1:12" ht="36" x14ac:dyDescent="0.25">
      <c r="A468" s="114">
        <v>44</v>
      </c>
      <c r="B468" s="6" t="s">
        <v>189</v>
      </c>
      <c r="C468" s="7" t="str">
        <f>"465/2016"</f>
        <v>465/2016</v>
      </c>
      <c r="D468" s="67">
        <v>42629</v>
      </c>
      <c r="E468" s="67">
        <v>43330</v>
      </c>
      <c r="F468" s="5">
        <v>2100</v>
      </c>
      <c r="G468" s="5">
        <v>2625</v>
      </c>
      <c r="H468" s="67">
        <v>43100</v>
      </c>
      <c r="I468" s="107">
        <v>2625</v>
      </c>
      <c r="J468" s="4"/>
      <c r="L468"/>
    </row>
    <row r="469" spans="1:12" ht="36" x14ac:dyDescent="0.25">
      <c r="A469" s="114">
        <v>45</v>
      </c>
      <c r="B469" s="6" t="s">
        <v>189</v>
      </c>
      <c r="C469" s="7" t="str">
        <f>"475/2016"</f>
        <v>475/2016</v>
      </c>
      <c r="D469" s="67">
        <v>42633</v>
      </c>
      <c r="E469" s="67">
        <v>43330</v>
      </c>
      <c r="F469" s="5">
        <v>1400</v>
      </c>
      <c r="G469" s="5">
        <v>1750</v>
      </c>
      <c r="H469" s="67">
        <v>43100</v>
      </c>
      <c r="I469" s="107">
        <v>1750</v>
      </c>
      <c r="J469" s="4"/>
      <c r="L469"/>
    </row>
    <row r="470" spans="1:12" ht="24" x14ac:dyDescent="0.25">
      <c r="A470" s="114">
        <v>46</v>
      </c>
      <c r="B470" s="6" t="s">
        <v>201</v>
      </c>
      <c r="C470" s="7" t="str">
        <f>"14/2015-6-OSTALO"</f>
        <v>14/2015-6-OSTALO</v>
      </c>
      <c r="D470" s="67">
        <v>42600</v>
      </c>
      <c r="E470" s="67">
        <v>43330</v>
      </c>
      <c r="F470" s="5">
        <v>3500</v>
      </c>
      <c r="G470" s="5">
        <v>4375</v>
      </c>
      <c r="H470" s="67">
        <v>43100</v>
      </c>
      <c r="I470" s="107">
        <v>2106.25</v>
      </c>
      <c r="J470" s="4"/>
      <c r="L470"/>
    </row>
    <row r="472" spans="1:12" ht="15" customHeight="1" x14ac:dyDescent="0.25">
      <c r="B472" s="174" t="s">
        <v>2028</v>
      </c>
      <c r="C472" s="174"/>
      <c r="D472" s="174"/>
      <c r="E472" s="174"/>
      <c r="F472" s="174"/>
      <c r="G472" s="174"/>
      <c r="H472" s="174"/>
      <c r="I472" s="174"/>
      <c r="J472" s="174"/>
      <c r="K472" s="41"/>
    </row>
  </sheetData>
  <sheetProtection algorithmName="SHA-512" hashValue="wKjJMyxrVKvWrmh+8ZUIyjIjXRNZx525lHzUJpnzdT5n6P2qquAWrr8ByhnI71AxH/bHFzIUxRCbmsM4LYDAMw==" saltValue="K8jGnHZRn9At9NFS216CwA==" spinCount="100000" sheet="1" objects="1" scenarios="1"/>
  <mergeCells count="49">
    <mergeCell ref="A1:N1"/>
    <mergeCell ref="A6:J6"/>
    <mergeCell ref="A77:N77"/>
    <mergeCell ref="D78:E78"/>
    <mergeCell ref="D79:E79"/>
    <mergeCell ref="N79:N80"/>
    <mergeCell ref="A80:L80"/>
    <mergeCell ref="N3:N4"/>
    <mergeCell ref="D2:E2"/>
    <mergeCell ref="D3:E3"/>
    <mergeCell ref="A4:L4"/>
    <mergeCell ref="A277:L277"/>
    <mergeCell ref="D231:E231"/>
    <mergeCell ref="A82:J82"/>
    <mergeCell ref="D166:E166"/>
    <mergeCell ref="D167:E167"/>
    <mergeCell ref="A165:N165"/>
    <mergeCell ref="N167:N168"/>
    <mergeCell ref="A168:L168"/>
    <mergeCell ref="A170:J170"/>
    <mergeCell ref="D230:E230"/>
    <mergeCell ref="A418:N418"/>
    <mergeCell ref="A279:J279"/>
    <mergeCell ref="A341:J341"/>
    <mergeCell ref="A371:J371"/>
    <mergeCell ref="D368:E368"/>
    <mergeCell ref="N368:N369"/>
    <mergeCell ref="A369:L369"/>
    <mergeCell ref="D337:E337"/>
    <mergeCell ref="D338:E338"/>
    <mergeCell ref="N338:N339"/>
    <mergeCell ref="A339:L339"/>
    <mergeCell ref="D367:E367"/>
    <mergeCell ref="B472:J472"/>
    <mergeCell ref="A229:N229"/>
    <mergeCell ref="A274:N274"/>
    <mergeCell ref="A336:N336"/>
    <mergeCell ref="A366:N366"/>
    <mergeCell ref="A423:J423"/>
    <mergeCell ref="D419:E419"/>
    <mergeCell ref="D420:E420"/>
    <mergeCell ref="N420:N421"/>
    <mergeCell ref="A421:L421"/>
    <mergeCell ref="N231:N232"/>
    <mergeCell ref="A232:L232"/>
    <mergeCell ref="A234:J234"/>
    <mergeCell ref="D275:E275"/>
    <mergeCell ref="D276:E276"/>
    <mergeCell ref="N276:N277"/>
  </mergeCells>
  <pageMargins left="0.23622047244094491" right="0.23622047244094491" top="0.98425196850393704" bottom="0.59055118110236227" header="0.31496062992125984" footer="0.31496062992125984"/>
  <pageSetup scale="69" fitToHeight="0" orientation="landscape" r:id="rId1"/>
  <headerFooter>
    <oddHeader>&amp;L&amp;G&amp;CRegistar okvirnih sporazuma i ugovora za 2016. godinu 
za predmete nabave iz nadležnosti Središnjeg državnog ureda za središnju javnu nabavu</oddHeader>
    <oddFooter>&amp;L&amp;D&amp;C &amp;A&amp;R&amp;P/&amp;N</oddFooter>
  </headerFooter>
  <ignoredErrors>
    <ignoredError sqref="C68" twoDigitTextYear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N433"/>
  <sheetViews>
    <sheetView view="pageLayout" zoomScaleNormal="100" workbookViewId="0">
      <selection sqref="A1:N1"/>
    </sheetView>
  </sheetViews>
  <sheetFormatPr defaultRowHeight="15" x14ac:dyDescent="0.25"/>
  <cols>
    <col min="1" max="1" width="4.85546875" customWidth="1"/>
    <col min="2" max="2" width="26.140625" customWidth="1"/>
    <col min="3" max="3" width="12" customWidth="1"/>
    <col min="4" max="4" width="13.42578125" customWidth="1"/>
    <col min="5" max="5" width="14" customWidth="1"/>
    <col min="6" max="6" width="15.28515625" customWidth="1"/>
    <col min="7" max="10" width="13.5703125" customWidth="1"/>
    <col min="11" max="13" width="14.28515625" customWidth="1"/>
    <col min="14" max="14" width="11.42578125" customWidth="1"/>
  </cols>
  <sheetData>
    <row r="1" spans="1:14" x14ac:dyDescent="0.25">
      <c r="A1" s="175" t="s">
        <v>182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36" x14ac:dyDescent="0.25">
      <c r="A2" s="53" t="s">
        <v>0</v>
      </c>
      <c r="B2" s="54" t="s">
        <v>1</v>
      </c>
      <c r="C2" s="54" t="s">
        <v>3</v>
      </c>
      <c r="D2" s="178" t="s">
        <v>171</v>
      </c>
      <c r="E2" s="178"/>
      <c r="F2" s="54" t="s">
        <v>166</v>
      </c>
      <c r="G2" s="54" t="s">
        <v>170</v>
      </c>
      <c r="H2" s="54" t="s">
        <v>167</v>
      </c>
      <c r="I2" s="54" t="s">
        <v>4</v>
      </c>
      <c r="J2" s="54" t="s">
        <v>5</v>
      </c>
      <c r="K2" s="54" t="s">
        <v>2</v>
      </c>
      <c r="L2" s="54" t="s">
        <v>172</v>
      </c>
      <c r="M2" s="54" t="s">
        <v>173</v>
      </c>
      <c r="N2" s="54" t="s">
        <v>169</v>
      </c>
    </row>
    <row r="3" spans="1:14" ht="36" customHeight="1" x14ac:dyDescent="0.25">
      <c r="A3" s="1">
        <v>1</v>
      </c>
      <c r="B3" s="13" t="s">
        <v>54</v>
      </c>
      <c r="C3" s="14" t="s">
        <v>86</v>
      </c>
      <c r="D3" s="181" t="s">
        <v>1039</v>
      </c>
      <c r="E3" s="182"/>
      <c r="F3" s="115" t="s">
        <v>103</v>
      </c>
      <c r="G3" s="115" t="s">
        <v>1007</v>
      </c>
      <c r="H3" s="1" t="s">
        <v>15</v>
      </c>
      <c r="I3" s="15">
        <v>42369</v>
      </c>
      <c r="J3" s="1" t="s">
        <v>51</v>
      </c>
      <c r="K3" s="8">
        <v>23309523.140000001</v>
      </c>
      <c r="L3" s="8">
        <v>5360290.13</v>
      </c>
      <c r="M3" s="8">
        <v>28669813.27</v>
      </c>
      <c r="N3" s="199"/>
    </row>
    <row r="4" spans="1:14" ht="15" customHeight="1" x14ac:dyDescent="0.25">
      <c r="A4" s="200" t="s">
        <v>1012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2"/>
      <c r="M4" s="8">
        <v>5816300.5899999999</v>
      </c>
      <c r="N4" s="198"/>
    </row>
    <row r="5" spans="1:14" ht="7.5" customHeight="1" x14ac:dyDescent="0.25">
      <c r="L5" s="47"/>
    </row>
    <row r="6" spans="1:14" ht="15" customHeight="1" x14ac:dyDescent="0.25">
      <c r="A6" s="175" t="s">
        <v>12</v>
      </c>
      <c r="B6" s="175"/>
      <c r="C6" s="175"/>
      <c r="D6" s="175"/>
      <c r="E6" s="175"/>
      <c r="F6" s="175"/>
      <c r="G6" s="175"/>
      <c r="H6" s="175"/>
      <c r="I6" s="175"/>
      <c r="J6" s="175"/>
      <c r="K6" s="49"/>
      <c r="L6" s="49"/>
    </row>
    <row r="7" spans="1:14" ht="48" customHeight="1" x14ac:dyDescent="0.25">
      <c r="A7" s="2" t="s">
        <v>0</v>
      </c>
      <c r="B7" s="3" t="s">
        <v>7</v>
      </c>
      <c r="C7" s="3" t="s">
        <v>6</v>
      </c>
      <c r="D7" s="3" t="s">
        <v>8</v>
      </c>
      <c r="E7" s="3" t="s">
        <v>168</v>
      </c>
      <c r="F7" s="3" t="s">
        <v>174</v>
      </c>
      <c r="G7" s="3" t="s">
        <v>175</v>
      </c>
      <c r="H7" s="3" t="s">
        <v>9</v>
      </c>
      <c r="I7" s="3" t="s">
        <v>176</v>
      </c>
      <c r="J7" s="3" t="s">
        <v>10</v>
      </c>
      <c r="L7" s="48"/>
      <c r="M7" s="48"/>
    </row>
    <row r="8" spans="1:14" ht="24" x14ac:dyDescent="0.25">
      <c r="A8" s="1">
        <v>1</v>
      </c>
      <c r="B8" s="60" t="s">
        <v>210</v>
      </c>
      <c r="C8" s="10" t="s">
        <v>1059</v>
      </c>
      <c r="D8" s="56">
        <v>43096</v>
      </c>
      <c r="E8" s="56">
        <v>43465</v>
      </c>
      <c r="F8" s="8">
        <v>375101.15</v>
      </c>
      <c r="G8" s="8">
        <v>468876.44</v>
      </c>
      <c r="H8" s="130" t="s">
        <v>1100</v>
      </c>
      <c r="I8" s="80">
        <v>0</v>
      </c>
      <c r="J8" s="134"/>
      <c r="L8" s="138"/>
    </row>
    <row r="9" spans="1:14" ht="24" x14ac:dyDescent="0.25">
      <c r="A9" s="1">
        <v>2</v>
      </c>
      <c r="B9" s="60" t="s">
        <v>195</v>
      </c>
      <c r="C9" s="10" t="s">
        <v>1060</v>
      </c>
      <c r="D9" s="56">
        <v>43099</v>
      </c>
      <c r="E9" s="56">
        <v>43465</v>
      </c>
      <c r="F9" s="8">
        <v>0</v>
      </c>
      <c r="G9" s="8">
        <v>0</v>
      </c>
      <c r="H9" s="169"/>
      <c r="I9" s="168">
        <v>0</v>
      </c>
      <c r="J9" s="134"/>
      <c r="L9" s="138"/>
    </row>
    <row r="10" spans="1:14" ht="24" x14ac:dyDescent="0.25">
      <c r="A10" s="1">
        <v>3</v>
      </c>
      <c r="B10" s="60" t="s">
        <v>18</v>
      </c>
      <c r="C10" s="10" t="s">
        <v>1061</v>
      </c>
      <c r="D10" s="56">
        <v>43089</v>
      </c>
      <c r="E10" s="56">
        <v>43465</v>
      </c>
      <c r="F10" s="8">
        <v>1520000</v>
      </c>
      <c r="G10" s="8">
        <v>1900000</v>
      </c>
      <c r="H10" s="131" t="s">
        <v>1100</v>
      </c>
      <c r="I10" s="80">
        <v>0</v>
      </c>
      <c r="J10" s="134"/>
      <c r="L10" s="138"/>
    </row>
    <row r="11" spans="1:14" ht="36" x14ac:dyDescent="0.25">
      <c r="A11" s="1">
        <v>4</v>
      </c>
      <c r="B11" s="60" t="s">
        <v>191</v>
      </c>
      <c r="C11" s="10" t="s">
        <v>1062</v>
      </c>
      <c r="D11" s="56">
        <v>43090</v>
      </c>
      <c r="E11" s="56">
        <v>43465</v>
      </c>
      <c r="F11" s="8">
        <v>0</v>
      </c>
      <c r="G11" s="8">
        <v>0</v>
      </c>
      <c r="H11" s="131" t="s">
        <v>1100</v>
      </c>
      <c r="I11" s="80">
        <v>0</v>
      </c>
      <c r="J11" s="134"/>
      <c r="L11" s="138"/>
    </row>
    <row r="12" spans="1:14" ht="24" x14ac:dyDescent="0.25">
      <c r="A12" s="1">
        <v>5</v>
      </c>
      <c r="B12" s="60" t="s">
        <v>194</v>
      </c>
      <c r="C12" s="10" t="s">
        <v>1063</v>
      </c>
      <c r="D12" s="56">
        <v>43089</v>
      </c>
      <c r="E12" s="56">
        <v>43465</v>
      </c>
      <c r="F12" s="8">
        <v>600000</v>
      </c>
      <c r="G12" s="8">
        <v>750000</v>
      </c>
      <c r="H12" s="131" t="s">
        <v>1100</v>
      </c>
      <c r="I12" s="80">
        <v>0</v>
      </c>
      <c r="J12" s="134"/>
      <c r="L12" s="138"/>
    </row>
    <row r="13" spans="1:14" ht="24" x14ac:dyDescent="0.25">
      <c r="A13" s="1">
        <v>6</v>
      </c>
      <c r="B13" s="60" t="s">
        <v>211</v>
      </c>
      <c r="C13" s="10" t="s">
        <v>1064</v>
      </c>
      <c r="D13" s="56">
        <v>42915</v>
      </c>
      <c r="E13" s="56">
        <v>43100</v>
      </c>
      <c r="F13" s="8">
        <v>0</v>
      </c>
      <c r="G13" s="8">
        <v>0</v>
      </c>
      <c r="H13" s="131" t="s">
        <v>1100</v>
      </c>
      <c r="I13" s="80">
        <v>16502.759999999998</v>
      </c>
      <c r="J13" s="134"/>
      <c r="L13" s="44"/>
    </row>
    <row r="14" spans="1:14" ht="24" x14ac:dyDescent="0.25">
      <c r="A14" s="1">
        <v>7</v>
      </c>
      <c r="B14" s="60" t="s">
        <v>210</v>
      </c>
      <c r="C14" s="10" t="s">
        <v>1065</v>
      </c>
      <c r="D14" s="56">
        <v>42864</v>
      </c>
      <c r="E14" s="56">
        <v>43100</v>
      </c>
      <c r="F14" s="8">
        <v>175047.21</v>
      </c>
      <c r="G14" s="8">
        <v>218809.01</v>
      </c>
      <c r="H14" s="169"/>
      <c r="I14" s="168">
        <v>0</v>
      </c>
      <c r="J14" s="134"/>
      <c r="L14" s="138"/>
    </row>
    <row r="15" spans="1:14" ht="36" x14ac:dyDescent="0.25">
      <c r="A15" s="1">
        <v>8</v>
      </c>
      <c r="B15" s="60" t="s">
        <v>192</v>
      </c>
      <c r="C15" s="10" t="s">
        <v>1066</v>
      </c>
      <c r="D15" s="56">
        <v>42855</v>
      </c>
      <c r="E15" s="56">
        <v>43100</v>
      </c>
      <c r="F15" s="8">
        <v>30624</v>
      </c>
      <c r="G15" s="8">
        <v>38280</v>
      </c>
      <c r="H15" s="131" t="s">
        <v>1100</v>
      </c>
      <c r="I15" s="80">
        <v>31942.11</v>
      </c>
      <c r="J15" s="134"/>
      <c r="L15" s="44"/>
    </row>
    <row r="16" spans="1:14" x14ac:dyDescent="0.25">
      <c r="A16" s="1">
        <v>9</v>
      </c>
      <c r="B16" s="60" t="s">
        <v>278</v>
      </c>
      <c r="C16" s="10" t="s">
        <v>1067</v>
      </c>
      <c r="D16" s="56">
        <v>42853</v>
      </c>
      <c r="E16" s="56">
        <v>43100</v>
      </c>
      <c r="F16" s="8">
        <v>104000</v>
      </c>
      <c r="G16" s="8">
        <v>130000</v>
      </c>
      <c r="H16" s="131" t="s">
        <v>1100</v>
      </c>
      <c r="I16" s="80">
        <v>81148.490000000005</v>
      </c>
      <c r="J16" s="134"/>
      <c r="L16" s="44"/>
    </row>
    <row r="17" spans="1:12" ht="24" x14ac:dyDescent="0.25">
      <c r="A17" s="1">
        <v>10</v>
      </c>
      <c r="B17" s="60" t="s">
        <v>206</v>
      </c>
      <c r="C17" s="10" t="s">
        <v>1068</v>
      </c>
      <c r="D17" s="56">
        <v>42826</v>
      </c>
      <c r="E17" s="56">
        <v>43100</v>
      </c>
      <c r="F17" s="8">
        <v>48000</v>
      </c>
      <c r="G17" s="8">
        <v>60000</v>
      </c>
      <c r="H17" s="131" t="s">
        <v>1100</v>
      </c>
      <c r="I17" s="80">
        <v>44198.96</v>
      </c>
      <c r="J17" s="134"/>
      <c r="L17" s="44"/>
    </row>
    <row r="18" spans="1:12" ht="24" x14ac:dyDescent="0.25">
      <c r="A18" s="1">
        <v>11</v>
      </c>
      <c r="B18" s="60" t="s">
        <v>197</v>
      </c>
      <c r="C18" s="10" t="s">
        <v>1069</v>
      </c>
      <c r="D18" s="56">
        <v>42888</v>
      </c>
      <c r="E18" s="56">
        <v>43465</v>
      </c>
      <c r="F18" s="8">
        <v>264000</v>
      </c>
      <c r="G18" s="8">
        <v>330000</v>
      </c>
      <c r="H18" s="131" t="s">
        <v>1100</v>
      </c>
      <c r="I18" s="80">
        <v>83791.759999999995</v>
      </c>
      <c r="J18" s="134"/>
      <c r="L18" s="44"/>
    </row>
    <row r="19" spans="1:12" ht="36" x14ac:dyDescent="0.25">
      <c r="A19" s="1">
        <v>12</v>
      </c>
      <c r="B19" s="60" t="s">
        <v>189</v>
      </c>
      <c r="C19" s="10" t="s">
        <v>1070</v>
      </c>
      <c r="D19" s="56">
        <v>42849</v>
      </c>
      <c r="E19" s="56">
        <v>43100</v>
      </c>
      <c r="F19" s="8">
        <v>120000</v>
      </c>
      <c r="G19" s="8">
        <v>150000</v>
      </c>
      <c r="H19" s="131" t="s">
        <v>1100</v>
      </c>
      <c r="I19" s="80">
        <v>60031.1</v>
      </c>
      <c r="J19" s="134"/>
      <c r="L19" s="44"/>
    </row>
    <row r="20" spans="1:12" ht="24" x14ac:dyDescent="0.25">
      <c r="A20" s="1">
        <v>13</v>
      </c>
      <c r="B20" s="60" t="s">
        <v>203</v>
      </c>
      <c r="C20" s="10" t="s">
        <v>1071</v>
      </c>
      <c r="D20" s="56">
        <v>42826</v>
      </c>
      <c r="E20" s="56">
        <v>43100</v>
      </c>
      <c r="F20" s="8">
        <v>330000</v>
      </c>
      <c r="G20" s="8">
        <v>412500</v>
      </c>
      <c r="H20" s="131" t="s">
        <v>1100</v>
      </c>
      <c r="I20" s="80">
        <v>192501.3</v>
      </c>
      <c r="J20" s="134"/>
      <c r="L20" s="44"/>
    </row>
    <row r="21" spans="1:12" ht="24" x14ac:dyDescent="0.25">
      <c r="A21" s="1">
        <v>14</v>
      </c>
      <c r="B21" s="60" t="s">
        <v>197</v>
      </c>
      <c r="C21" s="10" t="s">
        <v>1072</v>
      </c>
      <c r="D21" s="56">
        <v>42787</v>
      </c>
      <c r="E21" s="56">
        <v>43100</v>
      </c>
      <c r="F21" s="8">
        <v>2396.8000000000002</v>
      </c>
      <c r="G21" s="8">
        <v>2996</v>
      </c>
      <c r="H21" s="131" t="s">
        <v>1100</v>
      </c>
      <c r="I21" s="80">
        <v>0</v>
      </c>
      <c r="J21" s="134"/>
      <c r="L21" s="138"/>
    </row>
    <row r="22" spans="1:12" ht="24" x14ac:dyDescent="0.25">
      <c r="A22" s="1">
        <v>15</v>
      </c>
      <c r="B22" s="60" t="s">
        <v>193</v>
      </c>
      <c r="C22" s="10" t="s">
        <v>1073</v>
      </c>
      <c r="D22" s="56">
        <v>42766</v>
      </c>
      <c r="E22" s="56">
        <v>43100</v>
      </c>
      <c r="F22" s="8">
        <v>500000</v>
      </c>
      <c r="G22" s="8">
        <v>625000</v>
      </c>
      <c r="H22" s="131" t="s">
        <v>1100</v>
      </c>
      <c r="I22" s="80">
        <v>390142.89</v>
      </c>
      <c r="J22" s="134"/>
      <c r="L22" s="44"/>
    </row>
    <row r="23" spans="1:12" ht="24" x14ac:dyDescent="0.25">
      <c r="A23" s="1">
        <v>16</v>
      </c>
      <c r="B23" s="60" t="s">
        <v>205</v>
      </c>
      <c r="C23" s="10" t="s">
        <v>1074</v>
      </c>
      <c r="D23" s="56">
        <v>42737</v>
      </c>
      <c r="E23" s="56">
        <v>43100</v>
      </c>
      <c r="F23" s="8">
        <v>240000</v>
      </c>
      <c r="G23" s="8">
        <v>300000</v>
      </c>
      <c r="H23" s="131" t="s">
        <v>1100</v>
      </c>
      <c r="I23" s="80">
        <v>143737.9</v>
      </c>
      <c r="J23" s="134"/>
      <c r="L23" s="44"/>
    </row>
    <row r="24" spans="1:12" ht="24" x14ac:dyDescent="0.25">
      <c r="A24" s="1">
        <v>17</v>
      </c>
      <c r="B24" s="60" t="s">
        <v>196</v>
      </c>
      <c r="C24" s="10" t="s">
        <v>1075</v>
      </c>
      <c r="D24" s="56">
        <v>42760</v>
      </c>
      <c r="E24" s="56">
        <v>43100</v>
      </c>
      <c r="F24" s="8">
        <v>340000</v>
      </c>
      <c r="G24" s="8">
        <v>425000</v>
      </c>
      <c r="H24" s="131" t="s">
        <v>1100</v>
      </c>
      <c r="I24" s="80">
        <v>388332.94</v>
      </c>
      <c r="J24" s="134"/>
      <c r="L24" s="44"/>
    </row>
    <row r="25" spans="1:12" ht="24" x14ac:dyDescent="0.25">
      <c r="A25" s="1">
        <v>18</v>
      </c>
      <c r="B25" s="60" t="s">
        <v>204</v>
      </c>
      <c r="C25" s="10" t="s">
        <v>1076</v>
      </c>
      <c r="D25" s="56">
        <v>42772</v>
      </c>
      <c r="E25" s="56">
        <v>43100</v>
      </c>
      <c r="F25" s="8">
        <v>72000</v>
      </c>
      <c r="G25" s="8">
        <v>90000</v>
      </c>
      <c r="H25" s="131" t="s">
        <v>1100</v>
      </c>
      <c r="I25" s="80">
        <v>36133.379999999997</v>
      </c>
      <c r="J25" s="134"/>
      <c r="L25" s="44"/>
    </row>
    <row r="26" spans="1:12" ht="24" x14ac:dyDescent="0.25">
      <c r="A26" s="1">
        <v>19</v>
      </c>
      <c r="B26" s="60" t="s">
        <v>202</v>
      </c>
      <c r="C26" s="10" t="s">
        <v>1077</v>
      </c>
      <c r="D26" s="56">
        <v>42783</v>
      </c>
      <c r="E26" s="56">
        <v>43100</v>
      </c>
      <c r="F26" s="8">
        <v>10644.46</v>
      </c>
      <c r="G26" s="8">
        <v>13305.58</v>
      </c>
      <c r="H26" s="131" t="s">
        <v>1100</v>
      </c>
      <c r="I26" s="80">
        <v>12415.36</v>
      </c>
      <c r="J26" s="134"/>
      <c r="L26" s="44"/>
    </row>
    <row r="27" spans="1:12" ht="36" x14ac:dyDescent="0.25">
      <c r="A27" s="1">
        <v>20</v>
      </c>
      <c r="B27" s="60" t="s">
        <v>191</v>
      </c>
      <c r="C27" s="10" t="s">
        <v>1078</v>
      </c>
      <c r="D27" s="56">
        <v>42748</v>
      </c>
      <c r="E27" s="56">
        <v>43100</v>
      </c>
      <c r="F27" s="8">
        <v>118000</v>
      </c>
      <c r="G27" s="8">
        <v>147500</v>
      </c>
      <c r="H27" s="131" t="s">
        <v>1100</v>
      </c>
      <c r="I27" s="80">
        <v>45867.91</v>
      </c>
      <c r="J27" s="134"/>
      <c r="L27" s="44"/>
    </row>
    <row r="28" spans="1:12" ht="24" x14ac:dyDescent="0.25">
      <c r="A28" s="1">
        <v>21</v>
      </c>
      <c r="B28" s="60" t="s">
        <v>186</v>
      </c>
      <c r="C28" s="10" t="s">
        <v>1079</v>
      </c>
      <c r="D28" s="56">
        <v>42718</v>
      </c>
      <c r="E28" s="56">
        <v>43100</v>
      </c>
      <c r="F28" s="8">
        <v>180000</v>
      </c>
      <c r="G28" s="8">
        <v>225000</v>
      </c>
      <c r="H28" s="131" t="s">
        <v>1102</v>
      </c>
      <c r="I28" s="80">
        <v>64288.6</v>
      </c>
      <c r="J28" s="134"/>
      <c r="L28" s="44"/>
    </row>
    <row r="29" spans="1:12" x14ac:dyDescent="0.25">
      <c r="A29" s="1">
        <v>22</v>
      </c>
      <c r="B29" s="60" t="s">
        <v>198</v>
      </c>
      <c r="C29" s="10" t="s">
        <v>1080</v>
      </c>
      <c r="D29" s="56">
        <v>42753</v>
      </c>
      <c r="E29" s="56">
        <v>43465</v>
      </c>
      <c r="F29" s="8">
        <v>139000</v>
      </c>
      <c r="G29" s="8">
        <v>173750</v>
      </c>
      <c r="H29" s="131" t="s">
        <v>1100</v>
      </c>
      <c r="I29" s="80">
        <v>102330.2</v>
      </c>
      <c r="J29" s="134"/>
      <c r="L29" s="44"/>
    </row>
    <row r="30" spans="1:12" ht="24" x14ac:dyDescent="0.25">
      <c r="A30" s="1">
        <v>23</v>
      </c>
      <c r="B30" s="60" t="s">
        <v>194</v>
      </c>
      <c r="C30" s="10" t="s">
        <v>1081</v>
      </c>
      <c r="D30" s="56">
        <v>42772</v>
      </c>
      <c r="E30" s="56">
        <v>43100</v>
      </c>
      <c r="F30" s="8">
        <v>873945.59999999998</v>
      </c>
      <c r="G30" s="8">
        <v>1092432</v>
      </c>
      <c r="H30" s="131" t="s">
        <v>1100</v>
      </c>
      <c r="I30" s="80">
        <v>790258.08</v>
      </c>
      <c r="J30" s="134"/>
      <c r="L30" s="44"/>
    </row>
    <row r="31" spans="1:12" ht="24" x14ac:dyDescent="0.25">
      <c r="A31" s="1">
        <v>24</v>
      </c>
      <c r="B31" s="60" t="s">
        <v>200</v>
      </c>
      <c r="C31" s="10" t="s">
        <v>1082</v>
      </c>
      <c r="D31" s="56">
        <v>42733</v>
      </c>
      <c r="E31" s="56">
        <v>43100</v>
      </c>
      <c r="F31" s="8">
        <v>80000</v>
      </c>
      <c r="G31" s="8">
        <v>100000</v>
      </c>
      <c r="H31" s="131" t="s">
        <v>1100</v>
      </c>
      <c r="I31" s="80">
        <v>86023.86</v>
      </c>
      <c r="J31" s="134"/>
      <c r="L31" s="44"/>
    </row>
    <row r="32" spans="1:12" ht="24" x14ac:dyDescent="0.25">
      <c r="A32" s="1">
        <v>25</v>
      </c>
      <c r="B32" s="60" t="s">
        <v>195</v>
      </c>
      <c r="C32" s="10" t="s">
        <v>1083</v>
      </c>
      <c r="D32" s="56">
        <v>42935</v>
      </c>
      <c r="E32" s="56">
        <v>43100</v>
      </c>
      <c r="F32" s="8">
        <v>0</v>
      </c>
      <c r="G32" s="8">
        <v>0</v>
      </c>
      <c r="H32" s="131" t="s">
        <v>1100</v>
      </c>
      <c r="I32" s="80">
        <v>28580</v>
      </c>
      <c r="J32" s="134"/>
      <c r="L32" s="44"/>
    </row>
    <row r="33" spans="1:12" ht="36" x14ac:dyDescent="0.25">
      <c r="A33" s="1">
        <v>26</v>
      </c>
      <c r="B33" s="60" t="s">
        <v>97</v>
      </c>
      <c r="C33" s="10" t="s">
        <v>1084</v>
      </c>
      <c r="D33" s="56">
        <v>42765</v>
      </c>
      <c r="E33" s="56">
        <v>43100</v>
      </c>
      <c r="F33" s="8">
        <v>112000</v>
      </c>
      <c r="G33" s="8">
        <v>140000</v>
      </c>
      <c r="H33" s="131" t="s">
        <v>1102</v>
      </c>
      <c r="I33" s="80">
        <v>119061.92</v>
      </c>
      <c r="J33" s="134"/>
      <c r="L33" s="44"/>
    </row>
    <row r="34" spans="1:12" x14ac:dyDescent="0.25">
      <c r="A34" s="1">
        <v>27</v>
      </c>
      <c r="B34" s="60" t="s">
        <v>16</v>
      </c>
      <c r="C34" s="10" t="s">
        <v>1085</v>
      </c>
      <c r="D34" s="56">
        <v>42797</v>
      </c>
      <c r="E34" s="56">
        <v>43100</v>
      </c>
      <c r="F34" s="8">
        <v>50000</v>
      </c>
      <c r="G34" s="8">
        <v>62500</v>
      </c>
      <c r="H34" s="131" t="s">
        <v>1100</v>
      </c>
      <c r="I34" s="80">
        <v>58347.95</v>
      </c>
      <c r="J34" s="134"/>
      <c r="L34" s="44"/>
    </row>
    <row r="35" spans="1:12" ht="24" x14ac:dyDescent="0.25">
      <c r="A35" s="1">
        <v>28</v>
      </c>
      <c r="B35" s="60" t="s">
        <v>199</v>
      </c>
      <c r="C35" s="10" t="s">
        <v>1086</v>
      </c>
      <c r="D35" s="56">
        <v>42732</v>
      </c>
      <c r="E35" s="56">
        <v>43100</v>
      </c>
      <c r="F35" s="8">
        <v>180000</v>
      </c>
      <c r="G35" s="8">
        <v>225000</v>
      </c>
      <c r="H35" s="131" t="s">
        <v>1100</v>
      </c>
      <c r="I35" s="80">
        <v>118932.59</v>
      </c>
      <c r="J35" s="134"/>
      <c r="L35" s="44"/>
    </row>
    <row r="36" spans="1:12" ht="24" x14ac:dyDescent="0.25">
      <c r="A36" s="1">
        <v>29</v>
      </c>
      <c r="B36" s="60" t="s">
        <v>201</v>
      </c>
      <c r="C36" s="10" t="s">
        <v>1087</v>
      </c>
      <c r="D36" s="56">
        <v>42515</v>
      </c>
      <c r="E36" s="56">
        <v>43100</v>
      </c>
      <c r="F36" s="8">
        <v>450000</v>
      </c>
      <c r="G36" s="8">
        <v>562500</v>
      </c>
      <c r="H36" s="131" t="s">
        <v>1100</v>
      </c>
      <c r="I36" s="80">
        <v>493658.44</v>
      </c>
      <c r="J36" s="134"/>
      <c r="L36" s="44"/>
    </row>
    <row r="37" spans="1:12" ht="36" x14ac:dyDescent="0.25">
      <c r="A37" s="1">
        <v>30</v>
      </c>
      <c r="B37" s="60" t="s">
        <v>192</v>
      </c>
      <c r="C37" s="10" t="s">
        <v>1088</v>
      </c>
      <c r="D37" s="56">
        <v>42491</v>
      </c>
      <c r="E37" s="56">
        <v>42856</v>
      </c>
      <c r="F37" s="8">
        <v>45936</v>
      </c>
      <c r="G37" s="8">
        <v>57420</v>
      </c>
      <c r="H37" s="131" t="s">
        <v>1103</v>
      </c>
      <c r="I37" s="80">
        <v>11631.18</v>
      </c>
      <c r="J37" s="134"/>
      <c r="L37" s="44"/>
    </row>
    <row r="38" spans="1:12" ht="24" x14ac:dyDescent="0.25">
      <c r="A38" s="1">
        <v>31</v>
      </c>
      <c r="B38" s="60" t="s">
        <v>210</v>
      </c>
      <c r="C38" s="10" t="s">
        <v>1089</v>
      </c>
      <c r="D38" s="56">
        <v>42488</v>
      </c>
      <c r="E38" s="56">
        <v>42853</v>
      </c>
      <c r="F38" s="8">
        <v>375101.15</v>
      </c>
      <c r="G38" s="8">
        <v>468876.44</v>
      </c>
      <c r="H38" s="131" t="s">
        <v>1104</v>
      </c>
      <c r="I38" s="80">
        <v>223466.19</v>
      </c>
      <c r="J38" s="134"/>
      <c r="L38" s="44"/>
    </row>
    <row r="39" spans="1:12" ht="24" x14ac:dyDescent="0.25">
      <c r="A39" s="1">
        <v>32</v>
      </c>
      <c r="B39" s="60" t="s">
        <v>18</v>
      </c>
      <c r="C39" s="10" t="s">
        <v>1090</v>
      </c>
      <c r="D39" s="56">
        <v>42480</v>
      </c>
      <c r="E39" s="56">
        <v>43100</v>
      </c>
      <c r="F39" s="8">
        <v>740480</v>
      </c>
      <c r="G39" s="8">
        <v>925600</v>
      </c>
      <c r="H39" s="131" t="s">
        <v>1100</v>
      </c>
      <c r="I39" s="80">
        <v>701061.18</v>
      </c>
      <c r="J39" s="134"/>
      <c r="L39" s="44"/>
    </row>
    <row r="40" spans="1:12" ht="24" x14ac:dyDescent="0.25">
      <c r="A40" s="1">
        <v>33</v>
      </c>
      <c r="B40" s="60" t="s">
        <v>190</v>
      </c>
      <c r="C40" s="10" t="s">
        <v>1091</v>
      </c>
      <c r="D40" s="56">
        <v>42467</v>
      </c>
      <c r="E40" s="56">
        <v>43100</v>
      </c>
      <c r="F40" s="8">
        <v>87623.71</v>
      </c>
      <c r="G40" s="8">
        <v>109529.64</v>
      </c>
      <c r="H40" s="131" t="s">
        <v>1100</v>
      </c>
      <c r="I40" s="80">
        <v>68802.92</v>
      </c>
      <c r="J40" s="134"/>
      <c r="L40" s="44"/>
    </row>
    <row r="41" spans="1:12" ht="24" x14ac:dyDescent="0.25">
      <c r="A41" s="1">
        <v>34</v>
      </c>
      <c r="B41" s="60" t="s">
        <v>197</v>
      </c>
      <c r="C41" s="10" t="s">
        <v>1092</v>
      </c>
      <c r="D41" s="56">
        <v>42461</v>
      </c>
      <c r="E41" s="56">
        <v>42825</v>
      </c>
      <c r="F41" s="8">
        <v>170400</v>
      </c>
      <c r="G41" s="8">
        <v>213000</v>
      </c>
      <c r="H41" s="131" t="s">
        <v>1105</v>
      </c>
      <c r="I41" s="80">
        <v>50119.22</v>
      </c>
      <c r="J41" s="134"/>
      <c r="L41" s="44"/>
    </row>
    <row r="42" spans="1:12" ht="36" x14ac:dyDescent="0.25">
      <c r="A42" s="1">
        <v>35</v>
      </c>
      <c r="B42" s="60" t="s">
        <v>189</v>
      </c>
      <c r="C42" s="10" t="s">
        <v>1093</v>
      </c>
      <c r="D42" s="56">
        <v>42478</v>
      </c>
      <c r="E42" s="56">
        <v>42825</v>
      </c>
      <c r="F42" s="8">
        <v>180000</v>
      </c>
      <c r="G42" s="8">
        <v>225000</v>
      </c>
      <c r="H42" s="131" t="s">
        <v>1105</v>
      </c>
      <c r="I42" s="80">
        <v>34159.879999999997</v>
      </c>
      <c r="J42" s="134"/>
      <c r="L42" s="44"/>
    </row>
    <row r="43" spans="1:12" ht="24" x14ac:dyDescent="0.25">
      <c r="A43" s="1">
        <v>36</v>
      </c>
      <c r="B43" s="60" t="s">
        <v>187</v>
      </c>
      <c r="C43" s="10" t="s">
        <v>1094</v>
      </c>
      <c r="D43" s="56">
        <v>42459</v>
      </c>
      <c r="E43" s="56">
        <v>43100</v>
      </c>
      <c r="F43" s="8">
        <v>429000</v>
      </c>
      <c r="G43" s="8">
        <v>536250</v>
      </c>
      <c r="H43" s="131" t="s">
        <v>1105</v>
      </c>
      <c r="I43" s="80">
        <v>101810.14</v>
      </c>
      <c r="J43" s="134"/>
      <c r="L43" s="44"/>
    </row>
    <row r="44" spans="1:12" ht="36" x14ac:dyDescent="0.25">
      <c r="A44" s="1">
        <v>37</v>
      </c>
      <c r="B44" s="60" t="s">
        <v>208</v>
      </c>
      <c r="C44" s="10" t="s">
        <v>1095</v>
      </c>
      <c r="D44" s="56">
        <v>42461</v>
      </c>
      <c r="E44" s="56">
        <v>43100</v>
      </c>
      <c r="F44" s="8">
        <v>0</v>
      </c>
      <c r="G44" s="8">
        <v>0</v>
      </c>
      <c r="H44" s="131" t="s">
        <v>1102</v>
      </c>
      <c r="I44" s="80">
        <v>277932.90999999997</v>
      </c>
      <c r="J44" s="135"/>
      <c r="L44" s="44"/>
    </row>
    <row r="45" spans="1:12" ht="24" x14ac:dyDescent="0.25">
      <c r="A45" s="1">
        <v>38</v>
      </c>
      <c r="B45" s="60" t="s">
        <v>203</v>
      </c>
      <c r="C45" s="10" t="s">
        <v>1096</v>
      </c>
      <c r="D45" s="56">
        <v>42459</v>
      </c>
      <c r="E45" s="56">
        <v>42825</v>
      </c>
      <c r="F45" s="8">
        <v>400000</v>
      </c>
      <c r="G45" s="8">
        <v>500000</v>
      </c>
      <c r="H45" s="131" t="s">
        <v>1103</v>
      </c>
      <c r="I45" s="80">
        <v>60528.85</v>
      </c>
      <c r="J45" s="135"/>
      <c r="L45" s="44"/>
    </row>
    <row r="46" spans="1:12" ht="24" x14ac:dyDescent="0.25">
      <c r="A46" s="1">
        <v>39</v>
      </c>
      <c r="B46" s="60" t="s">
        <v>185</v>
      </c>
      <c r="C46" s="10" t="s">
        <v>1097</v>
      </c>
      <c r="D46" s="56">
        <v>42436</v>
      </c>
      <c r="E46" s="56">
        <v>43100</v>
      </c>
      <c r="F46" s="8">
        <v>880000</v>
      </c>
      <c r="G46" s="8">
        <v>1100000</v>
      </c>
      <c r="H46" s="131" t="s">
        <v>1100</v>
      </c>
      <c r="I46" s="80">
        <v>318639.56</v>
      </c>
      <c r="J46" s="135"/>
      <c r="L46" s="44"/>
    </row>
    <row r="47" spans="1:12" ht="24" x14ac:dyDescent="0.25">
      <c r="A47" s="1">
        <v>40</v>
      </c>
      <c r="B47" s="116" t="s">
        <v>193</v>
      </c>
      <c r="C47" s="117" t="s">
        <v>1098</v>
      </c>
      <c r="D47" s="118">
        <v>42401</v>
      </c>
      <c r="E47" s="118">
        <v>42766</v>
      </c>
      <c r="F47" s="121">
        <v>500000</v>
      </c>
      <c r="G47" s="121">
        <v>625000</v>
      </c>
      <c r="H47" s="132" t="s">
        <v>1103</v>
      </c>
      <c r="I47" s="80">
        <v>72021.31</v>
      </c>
      <c r="J47" s="136"/>
      <c r="L47" s="44"/>
    </row>
    <row r="48" spans="1:12" s="112" customFormat="1" ht="24" x14ac:dyDescent="0.25">
      <c r="A48" s="1">
        <v>41</v>
      </c>
      <c r="B48" s="125" t="s">
        <v>209</v>
      </c>
      <c r="C48" s="126" t="s">
        <v>1099</v>
      </c>
      <c r="D48" s="124">
        <v>42390</v>
      </c>
      <c r="E48" s="124">
        <v>43100</v>
      </c>
      <c r="F48" s="123">
        <v>400000</v>
      </c>
      <c r="G48" s="123">
        <v>500000</v>
      </c>
      <c r="H48" s="133" t="s">
        <v>1100</v>
      </c>
      <c r="I48" s="80">
        <v>301606.8</v>
      </c>
      <c r="J48" s="137"/>
      <c r="L48" s="44"/>
    </row>
    <row r="49" spans="1:14" s="112" customFormat="1" x14ac:dyDescent="0.25">
      <c r="A49" s="1">
        <v>42</v>
      </c>
      <c r="B49" s="125" t="s">
        <v>212</v>
      </c>
      <c r="C49" s="126" t="s">
        <v>86</v>
      </c>
      <c r="D49" s="124">
        <v>42369</v>
      </c>
      <c r="E49" s="124">
        <v>43100</v>
      </c>
      <c r="F49" s="123">
        <v>0</v>
      </c>
      <c r="G49" s="123">
        <v>0</v>
      </c>
      <c r="H49" s="133" t="s">
        <v>1100</v>
      </c>
      <c r="I49" s="80">
        <v>206291.95</v>
      </c>
      <c r="J49" s="137"/>
      <c r="L49" s="44"/>
    </row>
    <row r="50" spans="1:14" ht="7.5" customHeight="1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</row>
    <row r="51" spans="1:14" x14ac:dyDescent="0.25">
      <c r="A51" s="175" t="s">
        <v>182</v>
      </c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</row>
    <row r="52" spans="1:14" ht="36" x14ac:dyDescent="0.25">
      <c r="A52" s="53" t="s">
        <v>0</v>
      </c>
      <c r="B52" s="54" t="s">
        <v>1</v>
      </c>
      <c r="C52" s="54" t="s">
        <v>3</v>
      </c>
      <c r="D52" s="178" t="s">
        <v>171</v>
      </c>
      <c r="E52" s="178"/>
      <c r="F52" s="54" t="s">
        <v>166</v>
      </c>
      <c r="G52" s="54" t="s">
        <v>170</v>
      </c>
      <c r="H52" s="54" t="s">
        <v>167</v>
      </c>
      <c r="I52" s="54" t="s">
        <v>4</v>
      </c>
      <c r="J52" s="54" t="s">
        <v>5</v>
      </c>
      <c r="K52" s="54" t="s">
        <v>2</v>
      </c>
      <c r="L52" s="54" t="s">
        <v>172</v>
      </c>
      <c r="M52" s="54" t="s">
        <v>173</v>
      </c>
      <c r="N52" s="54" t="s">
        <v>169</v>
      </c>
    </row>
    <row r="53" spans="1:14" ht="36" x14ac:dyDescent="0.25">
      <c r="A53" s="1">
        <v>1</v>
      </c>
      <c r="B53" s="13" t="s">
        <v>54</v>
      </c>
      <c r="C53" s="14" t="s">
        <v>87</v>
      </c>
      <c r="D53" s="192" t="s">
        <v>1039</v>
      </c>
      <c r="E53" s="192"/>
      <c r="F53" s="38" t="s">
        <v>103</v>
      </c>
      <c r="G53" s="38" t="s">
        <v>1007</v>
      </c>
      <c r="H53" s="1" t="s">
        <v>15</v>
      </c>
      <c r="I53" s="15">
        <v>42369</v>
      </c>
      <c r="J53" s="1" t="s">
        <v>51</v>
      </c>
      <c r="K53" s="8">
        <v>20945502.719999999</v>
      </c>
      <c r="L53" s="8">
        <v>4894375.68</v>
      </c>
      <c r="M53" s="8">
        <v>25839878.399999999</v>
      </c>
      <c r="N53" s="176"/>
    </row>
    <row r="54" spans="1:14" ht="15" customHeight="1" x14ac:dyDescent="0.25">
      <c r="A54" s="177" t="s">
        <v>1012</v>
      </c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8">
        <v>5606089.3200000003</v>
      </c>
      <c r="N54" s="176"/>
    </row>
    <row r="55" spans="1:14" ht="7.5" customHeight="1" x14ac:dyDescent="0.25">
      <c r="L55" s="47"/>
    </row>
    <row r="56" spans="1:14" ht="15" customHeight="1" x14ac:dyDescent="0.25">
      <c r="A56" s="175" t="s">
        <v>12</v>
      </c>
      <c r="B56" s="175"/>
      <c r="C56" s="175"/>
      <c r="D56" s="175"/>
      <c r="E56" s="175"/>
      <c r="F56" s="175"/>
      <c r="G56" s="175"/>
      <c r="H56" s="175"/>
      <c r="I56" s="175"/>
      <c r="J56" s="175"/>
      <c r="K56" s="49"/>
      <c r="L56" s="49"/>
    </row>
    <row r="57" spans="1:14" ht="48" customHeight="1" x14ac:dyDescent="0.25">
      <c r="A57" s="2" t="s">
        <v>0</v>
      </c>
      <c r="B57" s="3" t="s">
        <v>7</v>
      </c>
      <c r="C57" s="3" t="s">
        <v>6</v>
      </c>
      <c r="D57" s="3" t="s">
        <v>8</v>
      </c>
      <c r="E57" s="3" t="s">
        <v>168</v>
      </c>
      <c r="F57" s="3" t="s">
        <v>174</v>
      </c>
      <c r="G57" s="3" t="s">
        <v>175</v>
      </c>
      <c r="H57" s="3" t="s">
        <v>9</v>
      </c>
      <c r="I57" s="3" t="s">
        <v>176</v>
      </c>
      <c r="J57" s="3" t="s">
        <v>10</v>
      </c>
      <c r="L57" s="48"/>
      <c r="M57" s="48"/>
    </row>
    <row r="58" spans="1:14" ht="24" x14ac:dyDescent="0.25">
      <c r="A58" s="38">
        <v>1</v>
      </c>
      <c r="B58" s="139" t="s">
        <v>577</v>
      </c>
      <c r="C58" s="140" t="s">
        <v>1106</v>
      </c>
      <c r="D58" s="56">
        <v>42536</v>
      </c>
      <c r="E58" s="56">
        <v>42901</v>
      </c>
      <c r="F58" s="8">
        <v>4000</v>
      </c>
      <c r="G58" s="8">
        <v>5000</v>
      </c>
      <c r="H58" s="129" t="s">
        <v>1100</v>
      </c>
      <c r="I58" s="37">
        <v>1336.48</v>
      </c>
      <c r="J58" s="72"/>
    </row>
    <row r="59" spans="1:14" ht="24" x14ac:dyDescent="0.25">
      <c r="A59" s="115">
        <v>2</v>
      </c>
      <c r="B59" s="139" t="s">
        <v>754</v>
      </c>
      <c r="C59" s="140" t="s">
        <v>1107</v>
      </c>
      <c r="D59" s="56">
        <v>42486</v>
      </c>
      <c r="E59" s="56">
        <v>43215</v>
      </c>
      <c r="F59" s="8">
        <v>0</v>
      </c>
      <c r="G59" s="8">
        <v>0</v>
      </c>
      <c r="H59" s="129" t="s">
        <v>1100</v>
      </c>
      <c r="I59" s="37">
        <v>3404.37</v>
      </c>
      <c r="J59" s="72"/>
    </row>
    <row r="60" spans="1:14" ht="36" x14ac:dyDescent="0.25">
      <c r="A60" s="115">
        <v>3</v>
      </c>
      <c r="B60" s="139" t="s">
        <v>599</v>
      </c>
      <c r="C60" s="140" t="s">
        <v>1108</v>
      </c>
      <c r="D60" s="56">
        <v>43098</v>
      </c>
      <c r="E60" s="56">
        <v>43465</v>
      </c>
      <c r="F60" s="8">
        <v>0</v>
      </c>
      <c r="G60" s="8">
        <v>0</v>
      </c>
      <c r="H60" s="164"/>
      <c r="I60" s="166">
        <v>0</v>
      </c>
      <c r="J60" s="72"/>
    </row>
    <row r="61" spans="1:14" ht="24" x14ac:dyDescent="0.25">
      <c r="A61" s="115">
        <v>4</v>
      </c>
      <c r="B61" s="139" t="s">
        <v>675</v>
      </c>
      <c r="C61" s="140" t="s">
        <v>1109</v>
      </c>
      <c r="D61" s="56">
        <v>43083</v>
      </c>
      <c r="E61" s="56">
        <v>43465</v>
      </c>
      <c r="F61" s="8">
        <v>0</v>
      </c>
      <c r="G61" s="8">
        <v>0</v>
      </c>
      <c r="H61" s="164"/>
      <c r="I61" s="166">
        <v>0</v>
      </c>
      <c r="J61" s="72"/>
    </row>
    <row r="62" spans="1:14" ht="36" x14ac:dyDescent="0.25">
      <c r="A62" s="115">
        <v>5</v>
      </c>
      <c r="B62" s="139" t="s">
        <v>601</v>
      </c>
      <c r="C62" s="140" t="s">
        <v>1110</v>
      </c>
      <c r="D62" s="56">
        <v>43088</v>
      </c>
      <c r="E62" s="56">
        <v>43465</v>
      </c>
      <c r="F62" s="8">
        <v>120000</v>
      </c>
      <c r="G62" s="8">
        <v>150000</v>
      </c>
      <c r="H62" s="164"/>
      <c r="I62" s="166">
        <v>0</v>
      </c>
      <c r="J62" s="72"/>
    </row>
    <row r="63" spans="1:14" ht="24" x14ac:dyDescent="0.25">
      <c r="A63" s="115">
        <v>6</v>
      </c>
      <c r="B63" s="139" t="s">
        <v>720</v>
      </c>
      <c r="C63" s="140" t="s">
        <v>1111</v>
      </c>
      <c r="D63" s="56">
        <v>43115</v>
      </c>
      <c r="E63" s="56">
        <v>43465</v>
      </c>
      <c r="F63" s="8">
        <v>4960</v>
      </c>
      <c r="G63" s="8">
        <v>6200</v>
      </c>
      <c r="H63" s="164"/>
      <c r="I63" s="166">
        <v>0</v>
      </c>
      <c r="J63" s="72"/>
    </row>
    <row r="64" spans="1:14" ht="24" x14ac:dyDescent="0.25">
      <c r="A64" s="115">
        <v>7</v>
      </c>
      <c r="B64" s="139" t="s">
        <v>685</v>
      </c>
      <c r="C64" s="140" t="s">
        <v>1112</v>
      </c>
      <c r="D64" s="56">
        <v>43098</v>
      </c>
      <c r="E64" s="56">
        <v>43465</v>
      </c>
      <c r="F64" s="8">
        <v>0</v>
      </c>
      <c r="G64" s="8">
        <v>0</v>
      </c>
      <c r="H64" s="164"/>
      <c r="I64" s="166">
        <v>0</v>
      </c>
      <c r="J64" s="72"/>
    </row>
    <row r="65" spans="1:10" ht="24" x14ac:dyDescent="0.25">
      <c r="A65" s="115">
        <v>8</v>
      </c>
      <c r="B65" s="139" t="s">
        <v>600</v>
      </c>
      <c r="C65" s="140" t="s">
        <v>1113</v>
      </c>
      <c r="D65" s="56">
        <v>43097</v>
      </c>
      <c r="E65" s="56">
        <v>43465</v>
      </c>
      <c r="F65" s="8">
        <v>1920</v>
      </c>
      <c r="G65" s="8">
        <v>2400</v>
      </c>
      <c r="H65" s="164"/>
      <c r="I65" s="166">
        <v>0</v>
      </c>
      <c r="J65" s="72"/>
    </row>
    <row r="66" spans="1:10" ht="24" x14ac:dyDescent="0.25">
      <c r="A66" s="115">
        <v>9</v>
      </c>
      <c r="B66" s="139" t="s">
        <v>494</v>
      </c>
      <c r="C66" s="140" t="s">
        <v>1114</v>
      </c>
      <c r="D66" s="56">
        <v>43097</v>
      </c>
      <c r="E66" s="56">
        <v>43465</v>
      </c>
      <c r="F66" s="8">
        <v>0</v>
      </c>
      <c r="G66" s="8">
        <v>0</v>
      </c>
      <c r="H66" s="164"/>
      <c r="I66" s="166">
        <v>0</v>
      </c>
      <c r="J66" s="72"/>
    </row>
    <row r="67" spans="1:10" ht="24" x14ac:dyDescent="0.25">
      <c r="A67" s="115">
        <v>10</v>
      </c>
      <c r="B67" s="139" t="s">
        <v>855</v>
      </c>
      <c r="C67" s="140" t="s">
        <v>1115</v>
      </c>
      <c r="D67" s="56">
        <v>43091</v>
      </c>
      <c r="E67" s="56">
        <v>43465</v>
      </c>
      <c r="F67" s="8">
        <v>1920</v>
      </c>
      <c r="G67" s="8">
        <v>2400</v>
      </c>
      <c r="H67" s="164"/>
      <c r="I67" s="166">
        <v>0</v>
      </c>
      <c r="J67" s="72"/>
    </row>
    <row r="68" spans="1:10" ht="24" x14ac:dyDescent="0.25">
      <c r="A68" s="115">
        <v>11</v>
      </c>
      <c r="B68" s="139" t="s">
        <v>538</v>
      </c>
      <c r="C68" s="140" t="s">
        <v>1116</v>
      </c>
      <c r="D68" s="56">
        <v>43098</v>
      </c>
      <c r="E68" s="56">
        <v>43465</v>
      </c>
      <c r="F68" s="8">
        <v>0</v>
      </c>
      <c r="G68" s="8">
        <v>0</v>
      </c>
      <c r="H68" s="129" t="s">
        <v>1100</v>
      </c>
      <c r="I68" s="37">
        <v>0</v>
      </c>
      <c r="J68" s="72"/>
    </row>
    <row r="69" spans="1:10" ht="24" x14ac:dyDescent="0.25">
      <c r="A69" s="115">
        <v>12</v>
      </c>
      <c r="B69" s="139" t="s">
        <v>678</v>
      </c>
      <c r="C69" s="140" t="s">
        <v>1117</v>
      </c>
      <c r="D69" s="56">
        <v>43098</v>
      </c>
      <c r="E69" s="56">
        <v>43465</v>
      </c>
      <c r="F69" s="8">
        <v>60000</v>
      </c>
      <c r="G69" s="8">
        <v>75000</v>
      </c>
      <c r="H69" s="164"/>
      <c r="I69" s="166">
        <v>0</v>
      </c>
      <c r="J69" s="72"/>
    </row>
    <row r="70" spans="1:10" ht="24" x14ac:dyDescent="0.25">
      <c r="A70" s="115">
        <v>13</v>
      </c>
      <c r="B70" s="139" t="s">
        <v>809</v>
      </c>
      <c r="C70" s="140" t="s">
        <v>1118</v>
      </c>
      <c r="D70" s="56">
        <v>43091</v>
      </c>
      <c r="E70" s="56">
        <v>43465</v>
      </c>
      <c r="F70" s="8">
        <v>0</v>
      </c>
      <c r="G70" s="8">
        <v>0</v>
      </c>
      <c r="H70" s="164"/>
      <c r="I70" s="166">
        <v>0</v>
      </c>
      <c r="J70" s="72"/>
    </row>
    <row r="71" spans="1:10" ht="24" x14ac:dyDescent="0.25">
      <c r="A71" s="115">
        <v>14</v>
      </c>
      <c r="B71" s="139" t="s">
        <v>750</v>
      </c>
      <c r="C71" s="140" t="s">
        <v>1119</v>
      </c>
      <c r="D71" s="56">
        <v>43098</v>
      </c>
      <c r="E71" s="56">
        <v>43465</v>
      </c>
      <c r="F71" s="8">
        <v>230000</v>
      </c>
      <c r="G71" s="8">
        <v>287500</v>
      </c>
      <c r="H71" s="164"/>
      <c r="I71" s="166">
        <v>0</v>
      </c>
      <c r="J71" s="72"/>
    </row>
    <row r="72" spans="1:10" ht="24" x14ac:dyDescent="0.25">
      <c r="A72" s="115">
        <v>15</v>
      </c>
      <c r="B72" s="139" t="s">
        <v>534</v>
      </c>
      <c r="C72" s="140" t="s">
        <v>1120</v>
      </c>
      <c r="D72" s="56">
        <v>43091</v>
      </c>
      <c r="E72" s="56">
        <v>43465</v>
      </c>
      <c r="F72" s="8">
        <v>66500</v>
      </c>
      <c r="G72" s="8">
        <v>83125</v>
      </c>
      <c r="H72" s="164"/>
      <c r="I72" s="166">
        <v>0</v>
      </c>
      <c r="J72" s="72"/>
    </row>
    <row r="73" spans="1:10" ht="24" x14ac:dyDescent="0.25">
      <c r="A73" s="115">
        <v>16</v>
      </c>
      <c r="B73" s="139" t="s">
        <v>495</v>
      </c>
      <c r="C73" s="140" t="s">
        <v>1121</v>
      </c>
      <c r="D73" s="56">
        <v>43100</v>
      </c>
      <c r="E73" s="56">
        <v>43190</v>
      </c>
      <c r="F73" s="8">
        <v>0</v>
      </c>
      <c r="G73" s="8">
        <v>0</v>
      </c>
      <c r="H73" s="164"/>
      <c r="I73" s="166">
        <v>0</v>
      </c>
      <c r="J73" s="72"/>
    </row>
    <row r="74" spans="1:10" ht="36" x14ac:dyDescent="0.25">
      <c r="A74" s="115">
        <v>17</v>
      </c>
      <c r="B74" s="139" t="s">
        <v>476</v>
      </c>
      <c r="C74" s="140" t="s">
        <v>1122</v>
      </c>
      <c r="D74" s="56">
        <v>43124</v>
      </c>
      <c r="E74" s="56">
        <v>43465</v>
      </c>
      <c r="F74" s="8">
        <v>26400</v>
      </c>
      <c r="G74" s="8">
        <v>33000</v>
      </c>
      <c r="H74" s="164"/>
      <c r="I74" s="166">
        <v>0</v>
      </c>
      <c r="J74" s="72"/>
    </row>
    <row r="75" spans="1:10" x14ac:dyDescent="0.25">
      <c r="A75" s="115">
        <v>18</v>
      </c>
      <c r="B75" s="139" t="s">
        <v>715</v>
      </c>
      <c r="C75" s="140" t="s">
        <v>1123</v>
      </c>
      <c r="D75" s="56">
        <v>43096</v>
      </c>
      <c r="E75" s="56">
        <v>43465</v>
      </c>
      <c r="F75" s="8">
        <v>840</v>
      </c>
      <c r="G75" s="8">
        <v>1050</v>
      </c>
      <c r="H75" s="164"/>
      <c r="I75" s="166">
        <v>0</v>
      </c>
      <c r="J75" s="72"/>
    </row>
    <row r="76" spans="1:10" ht="24" x14ac:dyDescent="0.25">
      <c r="A76" s="115">
        <v>19</v>
      </c>
      <c r="B76" s="139" t="s">
        <v>688</v>
      </c>
      <c r="C76" s="140" t="s">
        <v>1124</v>
      </c>
      <c r="D76" s="56">
        <v>43097</v>
      </c>
      <c r="E76" s="56">
        <v>43465</v>
      </c>
      <c r="F76" s="8">
        <v>5600</v>
      </c>
      <c r="G76" s="8">
        <v>7000</v>
      </c>
      <c r="H76" s="164"/>
      <c r="I76" s="166">
        <v>0</v>
      </c>
      <c r="J76" s="72"/>
    </row>
    <row r="77" spans="1:10" ht="24" x14ac:dyDescent="0.25">
      <c r="A77" s="115">
        <v>20</v>
      </c>
      <c r="B77" s="139" t="s">
        <v>511</v>
      </c>
      <c r="C77" s="140" t="s">
        <v>1125</v>
      </c>
      <c r="D77" s="56">
        <v>43091</v>
      </c>
      <c r="E77" s="56">
        <v>43465</v>
      </c>
      <c r="F77" s="8">
        <v>41400</v>
      </c>
      <c r="G77" s="8">
        <v>49680</v>
      </c>
      <c r="H77" s="164"/>
      <c r="I77" s="166">
        <v>0</v>
      </c>
      <c r="J77" s="72"/>
    </row>
    <row r="78" spans="1:10" x14ac:dyDescent="0.25">
      <c r="A78" s="115">
        <v>21</v>
      </c>
      <c r="B78" s="139" t="s">
        <v>951</v>
      </c>
      <c r="C78" s="140" t="s">
        <v>1126</v>
      </c>
      <c r="D78" s="56">
        <v>43108</v>
      </c>
      <c r="E78" s="56">
        <v>43465</v>
      </c>
      <c r="F78" s="8">
        <v>720</v>
      </c>
      <c r="G78" s="8">
        <v>900</v>
      </c>
      <c r="H78" s="164"/>
      <c r="I78" s="166">
        <v>0</v>
      </c>
      <c r="J78" s="72"/>
    </row>
    <row r="79" spans="1:10" ht="24" x14ac:dyDescent="0.25">
      <c r="A79" s="115">
        <v>22</v>
      </c>
      <c r="B79" s="139" t="s">
        <v>545</v>
      </c>
      <c r="C79" s="140" t="s">
        <v>1127</v>
      </c>
      <c r="D79" s="56">
        <v>43098</v>
      </c>
      <c r="E79" s="56">
        <v>43465</v>
      </c>
      <c r="F79" s="8">
        <v>0</v>
      </c>
      <c r="G79" s="8">
        <v>0</v>
      </c>
      <c r="H79" s="164"/>
      <c r="I79" s="166">
        <v>0</v>
      </c>
      <c r="J79" s="72"/>
    </row>
    <row r="80" spans="1:10" ht="24" x14ac:dyDescent="0.25">
      <c r="A80" s="115">
        <v>23</v>
      </c>
      <c r="B80" s="139" t="s">
        <v>826</v>
      </c>
      <c r="C80" s="140" t="s">
        <v>1128</v>
      </c>
      <c r="D80" s="56">
        <v>43097</v>
      </c>
      <c r="E80" s="56">
        <v>43465</v>
      </c>
      <c r="F80" s="8">
        <v>1500</v>
      </c>
      <c r="G80" s="8">
        <v>1875</v>
      </c>
      <c r="H80" s="164"/>
      <c r="I80" s="166">
        <v>0</v>
      </c>
      <c r="J80" s="72"/>
    </row>
    <row r="81" spans="1:10" x14ac:dyDescent="0.25">
      <c r="A81" s="115">
        <v>24</v>
      </c>
      <c r="B81" s="139" t="s">
        <v>523</v>
      </c>
      <c r="C81" s="140" t="s">
        <v>1129</v>
      </c>
      <c r="D81" s="56">
        <v>43096</v>
      </c>
      <c r="E81" s="56">
        <v>43465</v>
      </c>
      <c r="F81" s="8">
        <v>84000</v>
      </c>
      <c r="G81" s="8">
        <v>105000</v>
      </c>
      <c r="H81" s="164"/>
      <c r="I81" s="166">
        <v>0</v>
      </c>
      <c r="J81" s="72"/>
    </row>
    <row r="82" spans="1:10" x14ac:dyDescent="0.25">
      <c r="A82" s="115">
        <v>25</v>
      </c>
      <c r="B82" s="139" t="s">
        <v>952</v>
      </c>
      <c r="C82" s="140" t="s">
        <v>1130</v>
      </c>
      <c r="D82" s="56">
        <v>43091</v>
      </c>
      <c r="E82" s="56">
        <v>43465</v>
      </c>
      <c r="F82" s="8">
        <v>2800</v>
      </c>
      <c r="G82" s="8">
        <v>3500</v>
      </c>
      <c r="H82" s="164"/>
      <c r="I82" s="166">
        <v>0</v>
      </c>
      <c r="J82" s="72"/>
    </row>
    <row r="83" spans="1:10" ht="24" x14ac:dyDescent="0.25">
      <c r="A83" s="115">
        <v>26</v>
      </c>
      <c r="B83" s="139" t="s">
        <v>672</v>
      </c>
      <c r="C83" s="140" t="s">
        <v>1131</v>
      </c>
      <c r="D83" s="56">
        <v>43098</v>
      </c>
      <c r="E83" s="56">
        <v>43465</v>
      </c>
      <c r="F83" s="8">
        <v>5568</v>
      </c>
      <c r="G83" s="8">
        <v>6960</v>
      </c>
      <c r="H83" s="164"/>
      <c r="I83" s="166">
        <v>0</v>
      </c>
      <c r="J83" s="72"/>
    </row>
    <row r="84" spans="1:10" x14ac:dyDescent="0.25">
      <c r="A84" s="115">
        <v>27</v>
      </c>
      <c r="B84" s="139" t="s">
        <v>609</v>
      </c>
      <c r="C84" s="140" t="s">
        <v>1132</v>
      </c>
      <c r="D84" s="56">
        <v>43098</v>
      </c>
      <c r="E84" s="56">
        <v>43465</v>
      </c>
      <c r="F84" s="8">
        <v>3500</v>
      </c>
      <c r="G84" s="8">
        <v>4375</v>
      </c>
      <c r="H84" s="164"/>
      <c r="I84" s="166">
        <v>0</v>
      </c>
      <c r="J84" s="72"/>
    </row>
    <row r="85" spans="1:10" ht="24" x14ac:dyDescent="0.25">
      <c r="A85" s="115">
        <v>28</v>
      </c>
      <c r="B85" s="139" t="s">
        <v>739</v>
      </c>
      <c r="C85" s="140" t="s">
        <v>1133</v>
      </c>
      <c r="D85" s="56">
        <v>43110</v>
      </c>
      <c r="E85" s="56">
        <v>43465</v>
      </c>
      <c r="F85" s="8">
        <v>20000</v>
      </c>
      <c r="G85" s="8">
        <v>25000</v>
      </c>
      <c r="H85" s="164"/>
      <c r="I85" s="166">
        <v>0</v>
      </c>
      <c r="J85" s="72"/>
    </row>
    <row r="86" spans="1:10" ht="24" x14ac:dyDescent="0.25">
      <c r="A86" s="115">
        <v>29</v>
      </c>
      <c r="B86" s="139" t="s">
        <v>907</v>
      </c>
      <c r="C86" s="140" t="s">
        <v>1134</v>
      </c>
      <c r="D86" s="56">
        <v>43132</v>
      </c>
      <c r="E86" s="56">
        <v>43465</v>
      </c>
      <c r="F86" s="8">
        <v>0</v>
      </c>
      <c r="G86" s="8">
        <v>0</v>
      </c>
      <c r="H86" s="164"/>
      <c r="I86" s="166">
        <v>0</v>
      </c>
      <c r="J86" s="72"/>
    </row>
    <row r="87" spans="1:10" x14ac:dyDescent="0.25">
      <c r="A87" s="115">
        <v>30</v>
      </c>
      <c r="B87" s="139" t="s">
        <v>604</v>
      </c>
      <c r="C87" s="140" t="s">
        <v>1135</v>
      </c>
      <c r="D87" s="56">
        <v>43119</v>
      </c>
      <c r="E87" s="56">
        <v>43465</v>
      </c>
      <c r="F87" s="8">
        <v>3480</v>
      </c>
      <c r="G87" s="8">
        <v>4350</v>
      </c>
      <c r="H87" s="164"/>
      <c r="I87" s="166">
        <v>0</v>
      </c>
      <c r="J87" s="72"/>
    </row>
    <row r="88" spans="1:10" ht="48" x14ac:dyDescent="0.25">
      <c r="A88" s="115">
        <v>31</v>
      </c>
      <c r="B88" s="139" t="s">
        <v>904</v>
      </c>
      <c r="C88" s="140" t="s">
        <v>1136</v>
      </c>
      <c r="D88" s="56">
        <v>43097</v>
      </c>
      <c r="E88" s="56">
        <v>43465</v>
      </c>
      <c r="F88" s="8">
        <v>0</v>
      </c>
      <c r="G88" s="8">
        <v>0</v>
      </c>
      <c r="H88" s="164"/>
      <c r="I88" s="166">
        <v>0</v>
      </c>
      <c r="J88" s="72"/>
    </row>
    <row r="89" spans="1:10" ht="36" x14ac:dyDescent="0.25">
      <c r="A89" s="115">
        <v>32</v>
      </c>
      <c r="B89" s="139" t="s">
        <v>518</v>
      </c>
      <c r="C89" s="140" t="s">
        <v>1137</v>
      </c>
      <c r="D89" s="56">
        <v>43456</v>
      </c>
      <c r="E89" s="56">
        <v>43464</v>
      </c>
      <c r="F89" s="8">
        <v>20592</v>
      </c>
      <c r="G89" s="8">
        <v>25740</v>
      </c>
      <c r="H89" s="170"/>
      <c r="I89" s="166">
        <v>0</v>
      </c>
      <c r="J89" s="72"/>
    </row>
    <row r="90" spans="1:10" ht="24" x14ac:dyDescent="0.25">
      <c r="A90" s="115">
        <v>33</v>
      </c>
      <c r="B90" s="139" t="s">
        <v>761</v>
      </c>
      <c r="C90" s="140" t="s">
        <v>1138</v>
      </c>
      <c r="D90" s="56">
        <v>43098</v>
      </c>
      <c r="E90" s="56">
        <v>43463</v>
      </c>
      <c r="F90" s="8">
        <v>22080</v>
      </c>
      <c r="G90" s="8">
        <v>27600</v>
      </c>
      <c r="H90" s="129" t="s">
        <v>1100</v>
      </c>
      <c r="I90" s="37">
        <v>183.8</v>
      </c>
      <c r="J90" s="72"/>
    </row>
    <row r="91" spans="1:10" x14ac:dyDescent="0.25">
      <c r="A91" s="115">
        <v>34</v>
      </c>
      <c r="B91" s="139" t="s">
        <v>609</v>
      </c>
      <c r="C91" s="140" t="s">
        <v>1139</v>
      </c>
      <c r="D91" s="56">
        <v>43063</v>
      </c>
      <c r="E91" s="56">
        <v>43100</v>
      </c>
      <c r="F91" s="8">
        <v>7500</v>
      </c>
      <c r="G91" s="8">
        <v>7500</v>
      </c>
      <c r="H91" s="129" t="s">
        <v>1100</v>
      </c>
      <c r="I91" s="37">
        <v>10.95</v>
      </c>
      <c r="J91" s="72"/>
    </row>
    <row r="92" spans="1:10" ht="24" x14ac:dyDescent="0.25">
      <c r="A92" s="115">
        <v>35</v>
      </c>
      <c r="B92" s="139" t="s">
        <v>953</v>
      </c>
      <c r="C92" s="140" t="s">
        <v>1140</v>
      </c>
      <c r="D92" s="56">
        <v>43054</v>
      </c>
      <c r="E92" s="56">
        <v>43100</v>
      </c>
      <c r="F92" s="8">
        <v>3600</v>
      </c>
      <c r="G92" s="8">
        <v>4500</v>
      </c>
      <c r="H92" s="129" t="s">
        <v>1100</v>
      </c>
      <c r="I92" s="37">
        <v>2850.12</v>
      </c>
      <c r="J92" s="72"/>
    </row>
    <row r="93" spans="1:10" x14ac:dyDescent="0.25">
      <c r="A93" s="115">
        <v>36</v>
      </c>
      <c r="B93" s="139" t="s">
        <v>951</v>
      </c>
      <c r="C93" s="140" t="s">
        <v>1126</v>
      </c>
      <c r="D93" s="56">
        <v>43010</v>
      </c>
      <c r="E93" s="56">
        <v>43100</v>
      </c>
      <c r="F93" s="8">
        <v>225</v>
      </c>
      <c r="G93" s="8">
        <v>281.25</v>
      </c>
      <c r="H93" s="129" t="s">
        <v>1100</v>
      </c>
      <c r="I93" s="37">
        <v>90.64</v>
      </c>
      <c r="J93" s="72"/>
    </row>
    <row r="94" spans="1:10" ht="24" x14ac:dyDescent="0.25">
      <c r="A94" s="115">
        <v>37</v>
      </c>
      <c r="B94" s="139" t="s">
        <v>954</v>
      </c>
      <c r="C94" s="140" t="s">
        <v>1141</v>
      </c>
      <c r="D94" s="56">
        <v>42817</v>
      </c>
      <c r="E94" s="56">
        <v>43100</v>
      </c>
      <c r="F94" s="8">
        <v>0</v>
      </c>
      <c r="G94" s="8">
        <v>0</v>
      </c>
      <c r="H94" s="129" t="s">
        <v>1100</v>
      </c>
      <c r="I94" s="37">
        <v>3227.81</v>
      </c>
      <c r="J94" s="72"/>
    </row>
    <row r="95" spans="1:10" ht="24" x14ac:dyDescent="0.25">
      <c r="A95" s="115">
        <v>38</v>
      </c>
      <c r="B95" s="139" t="s">
        <v>921</v>
      </c>
      <c r="C95" s="140" t="s">
        <v>1142</v>
      </c>
      <c r="D95" s="56">
        <v>43009</v>
      </c>
      <c r="E95" s="56">
        <v>43100</v>
      </c>
      <c r="F95" s="8">
        <v>2320</v>
      </c>
      <c r="G95" s="8">
        <v>2900</v>
      </c>
      <c r="H95" s="129" t="s">
        <v>1100</v>
      </c>
      <c r="I95" s="37">
        <v>3471.95</v>
      </c>
      <c r="J95" s="72"/>
    </row>
    <row r="96" spans="1:10" ht="24" x14ac:dyDescent="0.25">
      <c r="A96" s="115">
        <v>39</v>
      </c>
      <c r="B96" s="139" t="s">
        <v>879</v>
      </c>
      <c r="C96" s="140" t="s">
        <v>1143</v>
      </c>
      <c r="D96" s="56">
        <v>42997</v>
      </c>
      <c r="E96" s="56">
        <v>43100</v>
      </c>
      <c r="F96" s="8">
        <v>0</v>
      </c>
      <c r="G96" s="8">
        <v>0</v>
      </c>
      <c r="H96" s="129" t="s">
        <v>1100</v>
      </c>
      <c r="I96" s="37">
        <v>1361.61</v>
      </c>
      <c r="J96" s="72"/>
    </row>
    <row r="97" spans="1:10" ht="24" x14ac:dyDescent="0.25">
      <c r="A97" s="115">
        <v>40</v>
      </c>
      <c r="B97" s="139" t="s">
        <v>873</v>
      </c>
      <c r="C97" s="140" t="s">
        <v>1144</v>
      </c>
      <c r="D97" s="56">
        <v>42877</v>
      </c>
      <c r="E97" s="56">
        <v>43100</v>
      </c>
      <c r="F97" s="8">
        <v>2000</v>
      </c>
      <c r="G97" s="8">
        <v>2500</v>
      </c>
      <c r="H97" s="129" t="s">
        <v>1100</v>
      </c>
      <c r="I97" s="37">
        <v>1156.06</v>
      </c>
      <c r="J97" s="72"/>
    </row>
    <row r="98" spans="1:10" ht="24" x14ac:dyDescent="0.25">
      <c r="A98" s="115">
        <v>41</v>
      </c>
      <c r="B98" s="139" t="s">
        <v>569</v>
      </c>
      <c r="C98" s="140" t="s">
        <v>1145</v>
      </c>
      <c r="D98" s="56">
        <v>42979</v>
      </c>
      <c r="E98" s="56">
        <v>43100</v>
      </c>
      <c r="F98" s="8">
        <v>6000</v>
      </c>
      <c r="G98" s="8">
        <v>7500</v>
      </c>
      <c r="H98" s="129" t="s">
        <v>1100</v>
      </c>
      <c r="I98" s="37">
        <v>3873.76</v>
      </c>
      <c r="J98" s="72"/>
    </row>
    <row r="99" spans="1:10" ht="36" x14ac:dyDescent="0.25">
      <c r="A99" s="115">
        <v>42</v>
      </c>
      <c r="B99" s="139" t="s">
        <v>488</v>
      </c>
      <c r="C99" s="140" t="s">
        <v>1146</v>
      </c>
      <c r="D99" s="56">
        <v>42949</v>
      </c>
      <c r="E99" s="56">
        <v>43100</v>
      </c>
      <c r="F99" s="8">
        <v>4640</v>
      </c>
      <c r="G99" s="8">
        <v>5800</v>
      </c>
      <c r="H99" s="129" t="s">
        <v>1100</v>
      </c>
      <c r="I99" s="37">
        <v>5979.43</v>
      </c>
      <c r="J99" s="72"/>
    </row>
    <row r="100" spans="1:10" ht="24" x14ac:dyDescent="0.25">
      <c r="A100" s="115">
        <v>43</v>
      </c>
      <c r="B100" s="139" t="s">
        <v>489</v>
      </c>
      <c r="C100" s="140" t="s">
        <v>1147</v>
      </c>
      <c r="D100" s="56">
        <v>42971</v>
      </c>
      <c r="E100" s="56">
        <v>43100</v>
      </c>
      <c r="F100" s="8">
        <v>6400</v>
      </c>
      <c r="G100" s="8">
        <v>8000</v>
      </c>
      <c r="H100" s="129" t="s">
        <v>1100</v>
      </c>
      <c r="I100" s="37">
        <v>7746.12</v>
      </c>
      <c r="J100" s="72"/>
    </row>
    <row r="101" spans="1:10" ht="24" x14ac:dyDescent="0.25">
      <c r="A101" s="115">
        <v>44</v>
      </c>
      <c r="B101" s="139" t="s">
        <v>616</v>
      </c>
      <c r="C101" s="140" t="s">
        <v>1148</v>
      </c>
      <c r="D101" s="56">
        <v>42920</v>
      </c>
      <c r="E101" s="56">
        <v>43100</v>
      </c>
      <c r="F101" s="8">
        <v>1160</v>
      </c>
      <c r="G101" s="8">
        <v>1450</v>
      </c>
      <c r="H101" s="129" t="s">
        <v>1100</v>
      </c>
      <c r="I101" s="37">
        <v>470.63</v>
      </c>
      <c r="J101" s="72"/>
    </row>
    <row r="102" spans="1:10" ht="24" x14ac:dyDescent="0.25">
      <c r="A102" s="115">
        <v>45</v>
      </c>
      <c r="B102" s="139" t="s">
        <v>731</v>
      </c>
      <c r="C102" s="140" t="s">
        <v>1149</v>
      </c>
      <c r="D102" s="118">
        <v>42963</v>
      </c>
      <c r="E102" s="118">
        <v>43100</v>
      </c>
      <c r="F102" s="120">
        <v>0</v>
      </c>
      <c r="G102" s="120">
        <v>0</v>
      </c>
      <c r="H102" s="129" t="s">
        <v>1100</v>
      </c>
      <c r="I102" s="37">
        <v>3603.51</v>
      </c>
      <c r="J102" s="72"/>
    </row>
    <row r="103" spans="1:10" ht="24" x14ac:dyDescent="0.25">
      <c r="A103" s="115">
        <v>46</v>
      </c>
      <c r="B103" s="139" t="s">
        <v>535</v>
      </c>
      <c r="C103" s="140" t="s">
        <v>1150</v>
      </c>
      <c r="D103" s="56">
        <v>42940</v>
      </c>
      <c r="E103" s="56">
        <v>43100</v>
      </c>
      <c r="F103" s="8">
        <v>6700</v>
      </c>
      <c r="G103" s="8">
        <v>8375</v>
      </c>
      <c r="H103" s="129" t="s">
        <v>1100</v>
      </c>
      <c r="I103" s="37">
        <v>2413.12</v>
      </c>
      <c r="J103" s="72"/>
    </row>
    <row r="104" spans="1:10" ht="24" x14ac:dyDescent="0.25">
      <c r="A104" s="115">
        <v>47</v>
      </c>
      <c r="B104" s="139" t="s">
        <v>608</v>
      </c>
      <c r="C104" s="140" t="s">
        <v>1151</v>
      </c>
      <c r="D104" s="56">
        <v>42899</v>
      </c>
      <c r="E104" s="56">
        <v>43100</v>
      </c>
      <c r="F104" s="8">
        <v>19200</v>
      </c>
      <c r="G104" s="8">
        <v>24000</v>
      </c>
      <c r="H104" s="129" t="s">
        <v>1100</v>
      </c>
      <c r="I104" s="37">
        <v>3637.89</v>
      </c>
      <c r="J104" s="72"/>
    </row>
    <row r="105" spans="1:10" ht="24" x14ac:dyDescent="0.25">
      <c r="A105" s="115">
        <v>48</v>
      </c>
      <c r="B105" s="139" t="s">
        <v>547</v>
      </c>
      <c r="C105" s="140" t="s">
        <v>1152</v>
      </c>
      <c r="D105" s="56">
        <v>42928</v>
      </c>
      <c r="E105" s="56">
        <v>43100</v>
      </c>
      <c r="F105" s="8">
        <v>4000</v>
      </c>
      <c r="G105" s="8">
        <v>5000</v>
      </c>
      <c r="H105" s="129" t="s">
        <v>1100</v>
      </c>
      <c r="I105" s="37">
        <v>0</v>
      </c>
      <c r="J105" s="72"/>
    </row>
    <row r="106" spans="1:10" ht="24" x14ac:dyDescent="0.25">
      <c r="A106" s="115">
        <v>49</v>
      </c>
      <c r="B106" s="139" t="s">
        <v>480</v>
      </c>
      <c r="C106" s="140" t="s">
        <v>1153</v>
      </c>
      <c r="D106" s="56">
        <v>42926</v>
      </c>
      <c r="E106" s="56">
        <v>43100</v>
      </c>
      <c r="F106" s="8">
        <v>20000</v>
      </c>
      <c r="G106" s="8">
        <v>25000</v>
      </c>
      <c r="H106" s="129" t="s">
        <v>1100</v>
      </c>
      <c r="I106" s="37">
        <v>3882.68</v>
      </c>
      <c r="J106" s="72"/>
    </row>
    <row r="107" spans="1:10" ht="24" x14ac:dyDescent="0.25">
      <c r="A107" s="115">
        <v>50</v>
      </c>
      <c r="B107" s="139" t="s">
        <v>867</v>
      </c>
      <c r="C107" s="140" t="s">
        <v>1154</v>
      </c>
      <c r="D107" s="56">
        <v>42926</v>
      </c>
      <c r="E107" s="56">
        <v>43100</v>
      </c>
      <c r="F107" s="8">
        <v>8000</v>
      </c>
      <c r="G107" s="8">
        <v>10000</v>
      </c>
      <c r="H107" s="129" t="s">
        <v>1100</v>
      </c>
      <c r="I107" s="37">
        <v>28098.19</v>
      </c>
      <c r="J107" s="72"/>
    </row>
    <row r="108" spans="1:10" ht="36" x14ac:dyDescent="0.25">
      <c r="A108" s="115">
        <v>51</v>
      </c>
      <c r="B108" s="139" t="s">
        <v>686</v>
      </c>
      <c r="C108" s="140" t="s">
        <v>1155</v>
      </c>
      <c r="D108" s="56">
        <v>42944</v>
      </c>
      <c r="E108" s="56">
        <v>43100</v>
      </c>
      <c r="F108" s="8">
        <v>6000</v>
      </c>
      <c r="G108" s="8">
        <v>7500</v>
      </c>
      <c r="H108" s="129" t="s">
        <v>1100</v>
      </c>
      <c r="I108" s="37">
        <v>4818.01</v>
      </c>
      <c r="J108" s="72"/>
    </row>
    <row r="109" spans="1:10" ht="24" x14ac:dyDescent="0.25">
      <c r="A109" s="115">
        <v>52</v>
      </c>
      <c r="B109" s="139" t="s">
        <v>490</v>
      </c>
      <c r="C109" s="140" t="s">
        <v>1156</v>
      </c>
      <c r="D109" s="56">
        <v>42920</v>
      </c>
      <c r="E109" s="56">
        <v>43100</v>
      </c>
      <c r="F109" s="8">
        <v>2640</v>
      </c>
      <c r="G109" s="8">
        <v>3300</v>
      </c>
      <c r="H109" s="129" t="s">
        <v>1100</v>
      </c>
      <c r="I109" s="37">
        <v>2982.64</v>
      </c>
      <c r="J109" s="72"/>
    </row>
    <row r="110" spans="1:10" ht="24" x14ac:dyDescent="0.25">
      <c r="A110" s="115">
        <v>53</v>
      </c>
      <c r="B110" s="139" t="s">
        <v>955</v>
      </c>
      <c r="C110" s="140" t="s">
        <v>1157</v>
      </c>
      <c r="D110" s="56">
        <v>42920</v>
      </c>
      <c r="E110" s="56">
        <v>43100</v>
      </c>
      <c r="F110" s="8">
        <v>192</v>
      </c>
      <c r="G110" s="8">
        <v>240</v>
      </c>
      <c r="H110" s="129" t="s">
        <v>1100</v>
      </c>
      <c r="I110" s="37">
        <v>0</v>
      </c>
      <c r="J110" s="72"/>
    </row>
    <row r="111" spans="1:10" ht="24" x14ac:dyDescent="0.25">
      <c r="A111" s="115">
        <v>54</v>
      </c>
      <c r="B111" s="139" t="s">
        <v>642</v>
      </c>
      <c r="C111" s="140" t="s">
        <v>1158</v>
      </c>
      <c r="D111" s="56">
        <v>42917</v>
      </c>
      <c r="E111" s="56">
        <v>43100</v>
      </c>
      <c r="F111" s="8">
        <v>0</v>
      </c>
      <c r="G111" s="8">
        <v>0</v>
      </c>
      <c r="H111" s="129" t="s">
        <v>1100</v>
      </c>
      <c r="I111" s="37">
        <v>3858.39</v>
      </c>
      <c r="J111" s="72"/>
    </row>
    <row r="112" spans="1:10" ht="24" x14ac:dyDescent="0.25">
      <c r="A112" s="115">
        <v>55</v>
      </c>
      <c r="B112" s="139" t="s">
        <v>545</v>
      </c>
      <c r="C112" s="140" t="s">
        <v>1159</v>
      </c>
      <c r="D112" s="56">
        <v>42917</v>
      </c>
      <c r="E112" s="56">
        <v>43100</v>
      </c>
      <c r="F112" s="8">
        <v>9000</v>
      </c>
      <c r="G112" s="8">
        <v>11250</v>
      </c>
      <c r="H112" s="129" t="s">
        <v>1100</v>
      </c>
      <c r="I112" s="37">
        <v>5243.42</v>
      </c>
      <c r="J112" s="72"/>
    </row>
    <row r="113" spans="1:10" ht="24" x14ac:dyDescent="0.25">
      <c r="A113" s="115">
        <v>56</v>
      </c>
      <c r="B113" s="139" t="s">
        <v>511</v>
      </c>
      <c r="C113" s="140" t="s">
        <v>1160</v>
      </c>
      <c r="D113" s="56">
        <v>42917</v>
      </c>
      <c r="E113" s="56">
        <v>43100</v>
      </c>
      <c r="F113" s="8">
        <v>32400</v>
      </c>
      <c r="G113" s="8">
        <v>40000</v>
      </c>
      <c r="H113" s="129" t="s">
        <v>1100</v>
      </c>
      <c r="I113" s="37">
        <v>29877.919999999998</v>
      </c>
      <c r="J113" s="72"/>
    </row>
    <row r="114" spans="1:10" ht="24" x14ac:dyDescent="0.25">
      <c r="A114" s="115">
        <v>57</v>
      </c>
      <c r="B114" s="139" t="s">
        <v>914</v>
      </c>
      <c r="C114" s="140" t="s">
        <v>1161</v>
      </c>
      <c r="D114" s="56">
        <v>42917</v>
      </c>
      <c r="E114" s="56">
        <v>43100</v>
      </c>
      <c r="F114" s="8">
        <v>14880</v>
      </c>
      <c r="G114" s="8">
        <v>18600</v>
      </c>
      <c r="H114" s="129" t="s">
        <v>1100</v>
      </c>
      <c r="I114" s="37">
        <v>32947.199999999997</v>
      </c>
      <c r="J114" s="72"/>
    </row>
    <row r="115" spans="1:10" ht="36" x14ac:dyDescent="0.25">
      <c r="A115" s="115">
        <v>58</v>
      </c>
      <c r="B115" s="139" t="s">
        <v>840</v>
      </c>
      <c r="C115" s="140" t="s">
        <v>1162</v>
      </c>
      <c r="D115" s="56">
        <v>42917</v>
      </c>
      <c r="E115" s="56">
        <v>43100</v>
      </c>
      <c r="F115" s="8">
        <v>18000</v>
      </c>
      <c r="G115" s="8">
        <v>22500</v>
      </c>
      <c r="H115" s="129" t="s">
        <v>1100</v>
      </c>
      <c r="I115" s="37">
        <v>8304.65</v>
      </c>
      <c r="J115" s="72"/>
    </row>
    <row r="116" spans="1:10" ht="36" x14ac:dyDescent="0.25">
      <c r="A116" s="115">
        <v>59</v>
      </c>
      <c r="B116" s="139" t="s">
        <v>755</v>
      </c>
      <c r="C116" s="140" t="s">
        <v>1163</v>
      </c>
      <c r="D116" s="56">
        <v>42914</v>
      </c>
      <c r="E116" s="56">
        <v>43279</v>
      </c>
      <c r="F116" s="8">
        <v>1</v>
      </c>
      <c r="G116" s="8">
        <v>1.25</v>
      </c>
      <c r="H116" s="129" t="s">
        <v>1471</v>
      </c>
      <c r="I116" s="37">
        <v>11230.44</v>
      </c>
      <c r="J116" s="72"/>
    </row>
    <row r="117" spans="1:10" ht="24" x14ac:dyDescent="0.25">
      <c r="A117" s="115">
        <v>60</v>
      </c>
      <c r="B117" s="139" t="s">
        <v>771</v>
      </c>
      <c r="C117" s="140" t="s">
        <v>1164</v>
      </c>
      <c r="D117" s="56">
        <v>42930</v>
      </c>
      <c r="E117" s="56">
        <v>43100</v>
      </c>
      <c r="F117" s="8">
        <v>1698.4</v>
      </c>
      <c r="G117" s="8">
        <v>2123</v>
      </c>
      <c r="H117" s="129" t="s">
        <v>1100</v>
      </c>
      <c r="I117" s="37">
        <v>4931.42</v>
      </c>
      <c r="J117" s="72"/>
    </row>
    <row r="118" spans="1:10" ht="24" x14ac:dyDescent="0.25">
      <c r="A118" s="115">
        <v>61</v>
      </c>
      <c r="B118" s="139" t="s">
        <v>854</v>
      </c>
      <c r="C118" s="140" t="s">
        <v>1165</v>
      </c>
      <c r="D118" s="56">
        <v>42912</v>
      </c>
      <c r="E118" s="56">
        <v>43100</v>
      </c>
      <c r="F118" s="8">
        <v>9600</v>
      </c>
      <c r="G118" s="8">
        <v>12000</v>
      </c>
      <c r="H118" s="129" t="s">
        <v>1100</v>
      </c>
      <c r="I118" s="37">
        <v>4954.21</v>
      </c>
      <c r="J118" s="72"/>
    </row>
    <row r="119" spans="1:10" ht="24" x14ac:dyDescent="0.25">
      <c r="A119" s="115">
        <v>62</v>
      </c>
      <c r="B119" s="139" t="s">
        <v>602</v>
      </c>
      <c r="C119" s="140" t="s">
        <v>1166</v>
      </c>
      <c r="D119" s="56">
        <v>42909</v>
      </c>
      <c r="E119" s="56">
        <v>43100</v>
      </c>
      <c r="F119" s="8">
        <v>0</v>
      </c>
      <c r="G119" s="8">
        <v>0</v>
      </c>
      <c r="H119" s="129" t="s">
        <v>1100</v>
      </c>
      <c r="I119" s="37">
        <v>14021.12</v>
      </c>
      <c r="J119" s="72"/>
    </row>
    <row r="120" spans="1:10" ht="24" x14ac:dyDescent="0.25">
      <c r="A120" s="115">
        <v>63</v>
      </c>
      <c r="B120" s="139" t="s">
        <v>836</v>
      </c>
      <c r="C120" s="140" t="s">
        <v>1167</v>
      </c>
      <c r="D120" s="56">
        <v>42745</v>
      </c>
      <c r="E120" s="56">
        <v>43100</v>
      </c>
      <c r="F120" s="8">
        <v>1200</v>
      </c>
      <c r="G120" s="8">
        <v>1500</v>
      </c>
      <c r="H120" s="129" t="s">
        <v>1100</v>
      </c>
      <c r="I120" s="37">
        <v>1036.1199999999999</v>
      </c>
      <c r="J120" s="72"/>
    </row>
    <row r="121" spans="1:10" ht="24" x14ac:dyDescent="0.25">
      <c r="A121" s="115">
        <v>64</v>
      </c>
      <c r="B121" s="139" t="s">
        <v>680</v>
      </c>
      <c r="C121" s="140" t="s">
        <v>1168</v>
      </c>
      <c r="D121" s="56">
        <v>42894</v>
      </c>
      <c r="E121" s="56">
        <v>43100</v>
      </c>
      <c r="F121" s="8">
        <v>2000</v>
      </c>
      <c r="G121" s="8">
        <v>2500</v>
      </c>
      <c r="H121" s="129" t="s">
        <v>1100</v>
      </c>
      <c r="I121" s="37">
        <v>1904.69</v>
      </c>
      <c r="J121" s="72"/>
    </row>
    <row r="122" spans="1:10" ht="24" x14ac:dyDescent="0.25">
      <c r="A122" s="115">
        <v>65</v>
      </c>
      <c r="B122" s="139" t="s">
        <v>800</v>
      </c>
      <c r="C122" s="140" t="s">
        <v>1169</v>
      </c>
      <c r="D122" s="56">
        <v>42822</v>
      </c>
      <c r="E122" s="56">
        <v>43100</v>
      </c>
      <c r="F122" s="8">
        <v>0</v>
      </c>
      <c r="G122" s="8">
        <v>0</v>
      </c>
      <c r="H122" s="129" t="s">
        <v>1472</v>
      </c>
      <c r="I122" s="37">
        <v>4765</v>
      </c>
      <c r="J122" s="72"/>
    </row>
    <row r="123" spans="1:10" ht="24" x14ac:dyDescent="0.25">
      <c r="A123" s="115">
        <v>66</v>
      </c>
      <c r="B123" s="139" t="s">
        <v>607</v>
      </c>
      <c r="C123" s="140" t="s">
        <v>1170</v>
      </c>
      <c r="D123" s="56">
        <v>42882</v>
      </c>
      <c r="E123" s="56">
        <v>43100</v>
      </c>
      <c r="F123" s="8">
        <v>8000</v>
      </c>
      <c r="G123" s="8">
        <v>10000</v>
      </c>
      <c r="H123" s="129" t="s">
        <v>1100</v>
      </c>
      <c r="I123" s="37">
        <v>2324.7399999999998</v>
      </c>
      <c r="J123" s="72"/>
    </row>
    <row r="124" spans="1:10" ht="24" x14ac:dyDescent="0.25">
      <c r="A124" s="115">
        <v>67</v>
      </c>
      <c r="B124" s="139" t="s">
        <v>722</v>
      </c>
      <c r="C124" s="140" t="s">
        <v>1171</v>
      </c>
      <c r="D124" s="56">
        <v>42887</v>
      </c>
      <c r="E124" s="56">
        <v>43100</v>
      </c>
      <c r="F124" s="8">
        <v>22400</v>
      </c>
      <c r="G124" s="8">
        <v>28000</v>
      </c>
      <c r="H124" s="129" t="s">
        <v>1100</v>
      </c>
      <c r="I124" s="37">
        <v>8899.58</v>
      </c>
      <c r="J124" s="72"/>
    </row>
    <row r="125" spans="1:10" ht="24" x14ac:dyDescent="0.25">
      <c r="A125" s="115">
        <v>68</v>
      </c>
      <c r="B125" s="139" t="s">
        <v>555</v>
      </c>
      <c r="C125" s="140" t="s">
        <v>1172</v>
      </c>
      <c r="D125" s="56">
        <v>42885</v>
      </c>
      <c r="E125" s="56">
        <v>43100</v>
      </c>
      <c r="F125" s="8">
        <v>0</v>
      </c>
      <c r="G125" s="8">
        <v>0</v>
      </c>
      <c r="H125" s="129" t="s">
        <v>1100</v>
      </c>
      <c r="I125" s="37">
        <v>4630.71</v>
      </c>
      <c r="J125" s="72"/>
    </row>
    <row r="126" spans="1:10" ht="24" x14ac:dyDescent="0.25">
      <c r="A126" s="115">
        <v>69</v>
      </c>
      <c r="B126" s="139" t="s">
        <v>847</v>
      </c>
      <c r="C126" s="140" t="s">
        <v>1173</v>
      </c>
      <c r="D126" s="56">
        <v>42886</v>
      </c>
      <c r="E126" s="56">
        <v>43251</v>
      </c>
      <c r="F126" s="8">
        <v>5760</v>
      </c>
      <c r="G126" s="8">
        <v>7200</v>
      </c>
      <c r="H126" s="129" t="s">
        <v>1100</v>
      </c>
      <c r="I126" s="37">
        <v>2633.77</v>
      </c>
      <c r="J126" s="72"/>
    </row>
    <row r="127" spans="1:10" ht="24" x14ac:dyDescent="0.25">
      <c r="A127" s="115">
        <v>70</v>
      </c>
      <c r="B127" s="139" t="s">
        <v>664</v>
      </c>
      <c r="C127" s="140" t="s">
        <v>1174</v>
      </c>
      <c r="D127" s="56">
        <v>42881</v>
      </c>
      <c r="E127" s="56">
        <v>43100</v>
      </c>
      <c r="F127" s="8">
        <v>5000</v>
      </c>
      <c r="G127" s="8">
        <v>6250</v>
      </c>
      <c r="H127" s="129" t="s">
        <v>1100</v>
      </c>
      <c r="I127" s="37">
        <v>4305.6000000000004</v>
      </c>
      <c r="J127" s="72"/>
    </row>
    <row r="128" spans="1:10" ht="36" x14ac:dyDescent="0.25">
      <c r="A128" s="115">
        <v>71</v>
      </c>
      <c r="B128" s="139" t="s">
        <v>638</v>
      </c>
      <c r="C128" s="140" t="s">
        <v>1175</v>
      </c>
      <c r="D128" s="56">
        <v>42880</v>
      </c>
      <c r="E128" s="56">
        <v>43100</v>
      </c>
      <c r="F128" s="8">
        <v>80000</v>
      </c>
      <c r="G128" s="8">
        <v>100000</v>
      </c>
      <c r="H128" s="129" t="s">
        <v>1100</v>
      </c>
      <c r="I128" s="37">
        <v>57830.91</v>
      </c>
      <c r="J128" s="72"/>
    </row>
    <row r="129" spans="1:10" ht="24" x14ac:dyDescent="0.25">
      <c r="A129" s="115">
        <v>72</v>
      </c>
      <c r="B129" s="139" t="s">
        <v>682</v>
      </c>
      <c r="C129" s="140" t="s">
        <v>1176</v>
      </c>
      <c r="D129" s="56">
        <v>42872</v>
      </c>
      <c r="E129" s="56">
        <v>43100</v>
      </c>
      <c r="F129" s="8">
        <v>10608</v>
      </c>
      <c r="G129" s="8">
        <v>13260</v>
      </c>
      <c r="H129" s="129" t="s">
        <v>1100</v>
      </c>
      <c r="I129" s="37">
        <v>3446.3</v>
      </c>
      <c r="J129" s="72"/>
    </row>
    <row r="130" spans="1:10" ht="24" x14ac:dyDescent="0.25">
      <c r="A130" s="115">
        <v>73</v>
      </c>
      <c r="B130" s="139" t="s">
        <v>672</v>
      </c>
      <c r="C130" s="140" t="s">
        <v>1177</v>
      </c>
      <c r="D130" s="56">
        <v>42869</v>
      </c>
      <c r="E130" s="56">
        <v>43100</v>
      </c>
      <c r="F130" s="8">
        <v>3480</v>
      </c>
      <c r="G130" s="8">
        <v>4350</v>
      </c>
      <c r="H130" s="129" t="s">
        <v>1100</v>
      </c>
      <c r="I130" s="37">
        <v>2437.1999999999998</v>
      </c>
      <c r="J130" s="72"/>
    </row>
    <row r="131" spans="1:10" ht="24" x14ac:dyDescent="0.25">
      <c r="A131" s="115">
        <v>74</v>
      </c>
      <c r="B131" s="139" t="s">
        <v>493</v>
      </c>
      <c r="C131" s="140" t="s">
        <v>1178</v>
      </c>
      <c r="D131" s="56">
        <v>42867</v>
      </c>
      <c r="E131" s="56">
        <v>43100</v>
      </c>
      <c r="F131" s="8">
        <v>6400</v>
      </c>
      <c r="G131" s="8">
        <v>8000</v>
      </c>
      <c r="H131" s="129" t="s">
        <v>1100</v>
      </c>
      <c r="I131" s="37">
        <v>6788.78</v>
      </c>
      <c r="J131" s="72"/>
    </row>
    <row r="132" spans="1:10" ht="24" x14ac:dyDescent="0.25">
      <c r="A132" s="115">
        <v>75</v>
      </c>
      <c r="B132" s="139" t="s">
        <v>956</v>
      </c>
      <c r="C132" s="140" t="s">
        <v>1179</v>
      </c>
      <c r="D132" s="56">
        <v>42865</v>
      </c>
      <c r="E132" s="56">
        <v>43100</v>
      </c>
      <c r="F132" s="8">
        <v>9000</v>
      </c>
      <c r="G132" s="8">
        <v>11250</v>
      </c>
      <c r="H132" s="129" t="s">
        <v>1100</v>
      </c>
      <c r="I132" s="37">
        <v>12275.82</v>
      </c>
      <c r="J132" s="72"/>
    </row>
    <row r="133" spans="1:10" x14ac:dyDescent="0.25">
      <c r="A133" s="115">
        <v>76</v>
      </c>
      <c r="B133" s="139" t="s">
        <v>952</v>
      </c>
      <c r="C133" s="140" t="s">
        <v>1180</v>
      </c>
      <c r="D133" s="56">
        <v>42851</v>
      </c>
      <c r="E133" s="56">
        <v>43100</v>
      </c>
      <c r="F133" s="8">
        <v>4800</v>
      </c>
      <c r="G133" s="8">
        <v>6000</v>
      </c>
      <c r="H133" s="129" t="s">
        <v>1100</v>
      </c>
      <c r="I133" s="37">
        <v>3801.68</v>
      </c>
      <c r="J133" s="72"/>
    </row>
    <row r="134" spans="1:10" ht="24" x14ac:dyDescent="0.25">
      <c r="A134" s="115">
        <v>77</v>
      </c>
      <c r="B134" s="139" t="s">
        <v>501</v>
      </c>
      <c r="C134" s="140" t="s">
        <v>1181</v>
      </c>
      <c r="D134" s="56">
        <v>42858</v>
      </c>
      <c r="E134" s="56">
        <v>43100</v>
      </c>
      <c r="F134" s="8">
        <v>1500</v>
      </c>
      <c r="G134" s="8">
        <v>1875</v>
      </c>
      <c r="H134" s="129" t="s">
        <v>1100</v>
      </c>
      <c r="I134" s="37">
        <v>1566.42</v>
      </c>
      <c r="J134" s="72"/>
    </row>
    <row r="135" spans="1:10" ht="24" x14ac:dyDescent="0.25">
      <c r="A135" s="115">
        <v>78</v>
      </c>
      <c r="B135" s="139" t="s">
        <v>652</v>
      </c>
      <c r="C135" s="140" t="s">
        <v>1182</v>
      </c>
      <c r="D135" s="56">
        <v>42857</v>
      </c>
      <c r="E135" s="56">
        <v>43100</v>
      </c>
      <c r="F135" s="8">
        <v>0</v>
      </c>
      <c r="G135" s="8">
        <v>0</v>
      </c>
      <c r="H135" s="129" t="s">
        <v>1100</v>
      </c>
      <c r="I135" s="37">
        <v>540.51</v>
      </c>
      <c r="J135" s="72"/>
    </row>
    <row r="136" spans="1:10" ht="24" x14ac:dyDescent="0.25">
      <c r="A136" s="115">
        <v>79</v>
      </c>
      <c r="B136" s="139" t="s">
        <v>678</v>
      </c>
      <c r="C136" s="140" t="s">
        <v>1183</v>
      </c>
      <c r="D136" s="56">
        <v>42857</v>
      </c>
      <c r="E136" s="56">
        <v>43100</v>
      </c>
      <c r="F136" s="8">
        <v>62000</v>
      </c>
      <c r="G136" s="8">
        <v>77500</v>
      </c>
      <c r="H136" s="129" t="s">
        <v>1100</v>
      </c>
      <c r="I136" s="37">
        <v>73058.039999999994</v>
      </c>
      <c r="J136" s="72"/>
    </row>
    <row r="137" spans="1:10" ht="48" x14ac:dyDescent="0.25">
      <c r="A137" s="115">
        <v>80</v>
      </c>
      <c r="B137" s="139" t="s">
        <v>752</v>
      </c>
      <c r="C137" s="140" t="s">
        <v>1184</v>
      </c>
      <c r="D137" s="56">
        <v>42865</v>
      </c>
      <c r="E137" s="56">
        <v>43100</v>
      </c>
      <c r="F137" s="8">
        <v>60000</v>
      </c>
      <c r="G137" s="8">
        <v>75000</v>
      </c>
      <c r="H137" s="129" t="s">
        <v>1100</v>
      </c>
      <c r="I137" s="37">
        <v>20500.66</v>
      </c>
      <c r="J137" s="72"/>
    </row>
    <row r="138" spans="1:10" ht="36" x14ac:dyDescent="0.25">
      <c r="A138" s="115">
        <v>81</v>
      </c>
      <c r="B138" s="139" t="s">
        <v>712</v>
      </c>
      <c r="C138" s="140" t="s">
        <v>1185</v>
      </c>
      <c r="D138" s="56">
        <v>42859</v>
      </c>
      <c r="E138" s="56">
        <v>43100</v>
      </c>
      <c r="F138" s="8">
        <v>1500</v>
      </c>
      <c r="G138" s="8">
        <v>1875</v>
      </c>
      <c r="H138" s="129" t="s">
        <v>1100</v>
      </c>
      <c r="I138" s="37">
        <v>1351.83</v>
      </c>
      <c r="J138" s="71"/>
    </row>
    <row r="139" spans="1:10" ht="36" x14ac:dyDescent="0.25">
      <c r="A139" s="115">
        <v>82</v>
      </c>
      <c r="B139" s="139" t="s">
        <v>708</v>
      </c>
      <c r="C139" s="140" t="s">
        <v>1186</v>
      </c>
      <c r="D139" s="56">
        <v>42844</v>
      </c>
      <c r="E139" s="56">
        <v>43100</v>
      </c>
      <c r="F139" s="8">
        <v>44000</v>
      </c>
      <c r="G139" s="8">
        <v>55000</v>
      </c>
      <c r="H139" s="129" t="s">
        <v>1100</v>
      </c>
      <c r="I139" s="37">
        <v>27388.55</v>
      </c>
      <c r="J139" s="71"/>
    </row>
    <row r="140" spans="1:10" ht="24" x14ac:dyDescent="0.25">
      <c r="A140" s="115">
        <v>83</v>
      </c>
      <c r="B140" s="139" t="s">
        <v>735</v>
      </c>
      <c r="C140" s="140" t="s">
        <v>1187</v>
      </c>
      <c r="D140" s="56">
        <v>42856</v>
      </c>
      <c r="E140" s="56">
        <v>43100</v>
      </c>
      <c r="F140" s="8">
        <v>3292.93</v>
      </c>
      <c r="G140" s="8">
        <v>4116.16</v>
      </c>
      <c r="H140" s="129" t="s">
        <v>1100</v>
      </c>
      <c r="I140" s="37">
        <v>3109.08</v>
      </c>
      <c r="J140" s="71"/>
    </row>
    <row r="141" spans="1:10" ht="24" x14ac:dyDescent="0.25">
      <c r="A141" s="115">
        <v>84</v>
      </c>
      <c r="B141" s="139" t="s">
        <v>957</v>
      </c>
      <c r="C141" s="140" t="s">
        <v>1188</v>
      </c>
      <c r="D141" s="56">
        <v>42856</v>
      </c>
      <c r="E141" s="56">
        <v>43100</v>
      </c>
      <c r="F141" s="8">
        <v>1000</v>
      </c>
      <c r="G141" s="8">
        <v>1250</v>
      </c>
      <c r="H141" s="129" t="s">
        <v>1100</v>
      </c>
      <c r="I141" s="37">
        <v>210.64</v>
      </c>
      <c r="J141" s="71"/>
    </row>
    <row r="142" spans="1:10" x14ac:dyDescent="0.25">
      <c r="A142" s="115">
        <v>85</v>
      </c>
      <c r="B142" s="139" t="s">
        <v>586</v>
      </c>
      <c r="C142" s="140" t="s">
        <v>1189</v>
      </c>
      <c r="D142" s="56">
        <v>42856</v>
      </c>
      <c r="E142" s="56">
        <v>43100</v>
      </c>
      <c r="F142" s="8">
        <v>8500</v>
      </c>
      <c r="G142" s="8">
        <v>10625</v>
      </c>
      <c r="H142" s="129" t="s">
        <v>1100</v>
      </c>
      <c r="I142" s="37">
        <v>9651.27</v>
      </c>
      <c r="J142" s="71"/>
    </row>
    <row r="143" spans="1:10" ht="24" x14ac:dyDescent="0.25">
      <c r="A143" s="115">
        <v>86</v>
      </c>
      <c r="B143" s="139" t="s">
        <v>521</v>
      </c>
      <c r="C143" s="140" t="s">
        <v>1190</v>
      </c>
      <c r="D143" s="56">
        <v>42856</v>
      </c>
      <c r="E143" s="56">
        <v>43100</v>
      </c>
      <c r="F143" s="8">
        <v>0</v>
      </c>
      <c r="G143" s="8">
        <v>0</v>
      </c>
      <c r="H143" s="129" t="s">
        <v>1100</v>
      </c>
      <c r="I143" s="37">
        <v>18511.580000000002</v>
      </c>
      <c r="J143" s="71"/>
    </row>
    <row r="144" spans="1:10" ht="24" x14ac:dyDescent="0.25">
      <c r="A144" s="115">
        <v>87</v>
      </c>
      <c r="B144" s="139" t="s">
        <v>538</v>
      </c>
      <c r="C144" s="140" t="s">
        <v>1191</v>
      </c>
      <c r="D144" s="56">
        <v>42828</v>
      </c>
      <c r="E144" s="56">
        <v>43100</v>
      </c>
      <c r="F144" s="8">
        <v>0</v>
      </c>
      <c r="G144" s="8">
        <v>0</v>
      </c>
      <c r="H144" s="129" t="s">
        <v>1100</v>
      </c>
      <c r="I144" s="37">
        <v>77615.929999999993</v>
      </c>
      <c r="J144" s="71"/>
    </row>
    <row r="145" spans="1:10" ht="24" x14ac:dyDescent="0.25">
      <c r="A145" s="115">
        <v>88</v>
      </c>
      <c r="B145" s="139" t="s">
        <v>821</v>
      </c>
      <c r="C145" s="140" t="s">
        <v>1192</v>
      </c>
      <c r="D145" s="56">
        <v>42854</v>
      </c>
      <c r="E145" s="56">
        <v>43100</v>
      </c>
      <c r="F145" s="8">
        <v>2800</v>
      </c>
      <c r="G145" s="8">
        <v>3500</v>
      </c>
      <c r="H145" s="129" t="s">
        <v>1100</v>
      </c>
      <c r="I145" s="37">
        <v>3458.13</v>
      </c>
      <c r="J145" s="71"/>
    </row>
    <row r="146" spans="1:10" ht="24" x14ac:dyDescent="0.25">
      <c r="A146" s="115">
        <v>89</v>
      </c>
      <c r="B146" s="139" t="s">
        <v>868</v>
      </c>
      <c r="C146" s="140" t="s">
        <v>1193</v>
      </c>
      <c r="D146" s="56">
        <v>42853</v>
      </c>
      <c r="E146" s="56">
        <v>43217</v>
      </c>
      <c r="F146" s="8">
        <v>5760</v>
      </c>
      <c r="G146" s="8">
        <v>7200</v>
      </c>
      <c r="H146" s="129" t="s">
        <v>1100</v>
      </c>
      <c r="I146" s="37">
        <v>13756.39</v>
      </c>
      <c r="J146" s="71"/>
    </row>
    <row r="147" spans="1:10" ht="24" x14ac:dyDescent="0.25">
      <c r="A147" s="115">
        <v>90</v>
      </c>
      <c r="B147" s="139" t="s">
        <v>826</v>
      </c>
      <c r="C147" s="140" t="s">
        <v>1194</v>
      </c>
      <c r="D147" s="56">
        <v>42853</v>
      </c>
      <c r="E147" s="56">
        <v>43100</v>
      </c>
      <c r="F147" s="8">
        <v>224</v>
      </c>
      <c r="G147" s="8">
        <v>224</v>
      </c>
      <c r="H147" s="129" t="s">
        <v>1100</v>
      </c>
      <c r="I147" s="37">
        <v>921.58</v>
      </c>
      <c r="J147" s="71"/>
    </row>
    <row r="148" spans="1:10" x14ac:dyDescent="0.25">
      <c r="A148" s="115">
        <v>91</v>
      </c>
      <c r="B148" s="139" t="s">
        <v>715</v>
      </c>
      <c r="C148" s="140" t="s">
        <v>1195</v>
      </c>
      <c r="D148" s="56">
        <v>42853</v>
      </c>
      <c r="E148" s="56">
        <v>43100</v>
      </c>
      <c r="F148" s="8">
        <v>2600</v>
      </c>
      <c r="G148" s="8">
        <v>3250</v>
      </c>
      <c r="H148" s="129" t="s">
        <v>1100</v>
      </c>
      <c r="I148" s="37">
        <v>757.01</v>
      </c>
      <c r="J148" s="71"/>
    </row>
    <row r="149" spans="1:10" ht="24" x14ac:dyDescent="0.25">
      <c r="A149" s="115">
        <v>92</v>
      </c>
      <c r="B149" s="139" t="s">
        <v>871</v>
      </c>
      <c r="C149" s="140" t="s">
        <v>1196</v>
      </c>
      <c r="D149" s="56">
        <v>42850</v>
      </c>
      <c r="E149" s="56">
        <v>43100</v>
      </c>
      <c r="F149" s="8">
        <v>4500</v>
      </c>
      <c r="G149" s="8">
        <v>5625</v>
      </c>
      <c r="H149" s="129" t="s">
        <v>1100</v>
      </c>
      <c r="I149" s="37">
        <v>4111.6499999999996</v>
      </c>
      <c r="J149" s="71"/>
    </row>
    <row r="150" spans="1:10" ht="36" x14ac:dyDescent="0.25">
      <c r="A150" s="115">
        <v>93</v>
      </c>
      <c r="B150" s="139" t="s">
        <v>518</v>
      </c>
      <c r="C150" s="140" t="s">
        <v>1197</v>
      </c>
      <c r="D150" s="56">
        <v>42849</v>
      </c>
      <c r="E150" s="56">
        <v>43100</v>
      </c>
      <c r="F150" s="8">
        <v>20592</v>
      </c>
      <c r="G150" s="8">
        <v>25740</v>
      </c>
      <c r="H150" s="129" t="s">
        <v>1100</v>
      </c>
      <c r="I150" s="37">
        <v>8054.96</v>
      </c>
      <c r="J150" s="71"/>
    </row>
    <row r="151" spans="1:10" ht="24" x14ac:dyDescent="0.25">
      <c r="A151" s="115">
        <v>94</v>
      </c>
      <c r="B151" s="139" t="s">
        <v>740</v>
      </c>
      <c r="C151" s="140" t="s">
        <v>1198</v>
      </c>
      <c r="D151" s="56">
        <v>42886</v>
      </c>
      <c r="E151" s="56">
        <v>43100</v>
      </c>
      <c r="F151" s="8">
        <v>12000</v>
      </c>
      <c r="G151" s="8">
        <v>15000</v>
      </c>
      <c r="H151" s="129" t="s">
        <v>1100</v>
      </c>
      <c r="I151" s="37">
        <v>2550.81</v>
      </c>
      <c r="J151" s="71"/>
    </row>
    <row r="152" spans="1:10" ht="24" x14ac:dyDescent="0.25">
      <c r="A152" s="115">
        <v>95</v>
      </c>
      <c r="B152" s="139" t="s">
        <v>553</v>
      </c>
      <c r="C152" s="140" t="s">
        <v>1199</v>
      </c>
      <c r="D152" s="56">
        <v>42844</v>
      </c>
      <c r="E152" s="56">
        <v>43100</v>
      </c>
      <c r="F152" s="8">
        <v>0</v>
      </c>
      <c r="G152" s="8">
        <v>0</v>
      </c>
      <c r="H152" s="129" t="s">
        <v>1100</v>
      </c>
      <c r="I152" s="37">
        <v>1276.77</v>
      </c>
      <c r="J152" s="71"/>
    </row>
    <row r="153" spans="1:10" ht="24" x14ac:dyDescent="0.25">
      <c r="A153" s="115">
        <v>96</v>
      </c>
      <c r="B153" s="139" t="s">
        <v>483</v>
      </c>
      <c r="C153" s="140" t="s">
        <v>1200</v>
      </c>
      <c r="D153" s="56">
        <v>42920</v>
      </c>
      <c r="E153" s="56">
        <v>43100</v>
      </c>
      <c r="F153" s="8">
        <v>0</v>
      </c>
      <c r="G153" s="8">
        <v>0</v>
      </c>
      <c r="H153" s="129" t="s">
        <v>1100</v>
      </c>
      <c r="I153" s="37">
        <v>11824.88</v>
      </c>
      <c r="J153" s="71"/>
    </row>
    <row r="154" spans="1:10" x14ac:dyDescent="0.25">
      <c r="A154" s="115">
        <v>97</v>
      </c>
      <c r="B154" s="139" t="s">
        <v>478</v>
      </c>
      <c r="C154" s="140" t="s">
        <v>1201</v>
      </c>
      <c r="D154" s="56">
        <v>42839</v>
      </c>
      <c r="E154" s="56">
        <v>43100</v>
      </c>
      <c r="F154" s="8">
        <v>0</v>
      </c>
      <c r="G154" s="8">
        <v>0</v>
      </c>
      <c r="H154" s="129" t="s">
        <v>1100</v>
      </c>
      <c r="I154" s="37">
        <v>2649.01</v>
      </c>
      <c r="J154" s="71"/>
    </row>
    <row r="155" spans="1:10" ht="24" x14ac:dyDescent="0.25">
      <c r="A155" s="115">
        <v>98</v>
      </c>
      <c r="B155" s="139" t="s">
        <v>864</v>
      </c>
      <c r="C155" s="140" t="s">
        <v>1202</v>
      </c>
      <c r="D155" s="56">
        <v>42828</v>
      </c>
      <c r="E155" s="56">
        <v>43100</v>
      </c>
      <c r="F155" s="8">
        <v>3480</v>
      </c>
      <c r="G155" s="8">
        <v>4350</v>
      </c>
      <c r="H155" s="129" t="s">
        <v>1100</v>
      </c>
      <c r="I155" s="37">
        <v>4960.76</v>
      </c>
      <c r="J155" s="71"/>
    </row>
    <row r="156" spans="1:10" ht="24" x14ac:dyDescent="0.25">
      <c r="A156" s="115">
        <v>99</v>
      </c>
      <c r="B156" s="139" t="s">
        <v>907</v>
      </c>
      <c r="C156" s="140" t="s">
        <v>1203</v>
      </c>
      <c r="D156" s="56">
        <v>42838</v>
      </c>
      <c r="E156" s="56">
        <v>43100</v>
      </c>
      <c r="F156" s="8">
        <v>3200</v>
      </c>
      <c r="G156" s="8">
        <v>4000</v>
      </c>
      <c r="H156" s="129" t="s">
        <v>1100</v>
      </c>
      <c r="I156" s="37">
        <v>624.21</v>
      </c>
      <c r="J156" s="71"/>
    </row>
    <row r="157" spans="1:10" ht="24" x14ac:dyDescent="0.25">
      <c r="A157" s="115">
        <v>100</v>
      </c>
      <c r="B157" s="139" t="s">
        <v>649</v>
      </c>
      <c r="C157" s="140" t="s">
        <v>1204</v>
      </c>
      <c r="D157" s="56">
        <v>42838</v>
      </c>
      <c r="E157" s="56">
        <v>43100</v>
      </c>
      <c r="F157" s="8">
        <v>20000</v>
      </c>
      <c r="G157" s="8">
        <v>25000</v>
      </c>
      <c r="H157" s="129" t="s">
        <v>1100</v>
      </c>
      <c r="I157" s="37">
        <v>14743.4</v>
      </c>
      <c r="J157" s="72"/>
    </row>
    <row r="158" spans="1:10" ht="24" x14ac:dyDescent="0.25">
      <c r="A158" s="115">
        <v>101</v>
      </c>
      <c r="B158" s="139" t="s">
        <v>500</v>
      </c>
      <c r="C158" s="140" t="s">
        <v>1205</v>
      </c>
      <c r="D158" s="56">
        <v>42836</v>
      </c>
      <c r="E158" s="56">
        <v>43100</v>
      </c>
      <c r="F158" s="8">
        <v>3126</v>
      </c>
      <c r="G158" s="8">
        <v>3910</v>
      </c>
      <c r="H158" s="129" t="s">
        <v>1100</v>
      </c>
      <c r="I158" s="37">
        <v>3403.82</v>
      </c>
      <c r="J158" s="72"/>
    </row>
    <row r="159" spans="1:10" ht="24" x14ac:dyDescent="0.25">
      <c r="A159" s="115">
        <v>102</v>
      </c>
      <c r="B159" s="139" t="s">
        <v>833</v>
      </c>
      <c r="C159" s="140" t="s">
        <v>1206</v>
      </c>
      <c r="D159" s="56">
        <v>42837</v>
      </c>
      <c r="E159" s="56">
        <v>43100</v>
      </c>
      <c r="F159" s="8">
        <v>1566</v>
      </c>
      <c r="G159" s="8">
        <v>1957.5</v>
      </c>
      <c r="H159" s="129" t="s">
        <v>1100</v>
      </c>
      <c r="I159" s="37">
        <v>1458.54</v>
      </c>
      <c r="J159" s="72"/>
    </row>
    <row r="160" spans="1:10" ht="24" x14ac:dyDescent="0.25">
      <c r="A160" s="115">
        <v>103</v>
      </c>
      <c r="B160" s="139" t="s">
        <v>733</v>
      </c>
      <c r="C160" s="140" t="s">
        <v>1207</v>
      </c>
      <c r="D160" s="56">
        <v>42838</v>
      </c>
      <c r="E160" s="56">
        <v>43100</v>
      </c>
      <c r="F160" s="8">
        <v>20000</v>
      </c>
      <c r="G160" s="8">
        <v>25000</v>
      </c>
      <c r="H160" s="129" t="s">
        <v>1100</v>
      </c>
      <c r="I160" s="37">
        <v>1354.7</v>
      </c>
      <c r="J160" s="72"/>
    </row>
    <row r="161" spans="1:10" ht="24" x14ac:dyDescent="0.25">
      <c r="A161" s="115">
        <v>104</v>
      </c>
      <c r="B161" s="139" t="s">
        <v>738</v>
      </c>
      <c r="C161" s="140" t="s">
        <v>1208</v>
      </c>
      <c r="D161" s="56">
        <v>42837</v>
      </c>
      <c r="E161" s="56">
        <v>43100</v>
      </c>
      <c r="F161" s="8">
        <v>35000</v>
      </c>
      <c r="G161" s="8">
        <v>43750</v>
      </c>
      <c r="H161" s="129" t="s">
        <v>1100</v>
      </c>
      <c r="I161" s="37">
        <v>17400.38</v>
      </c>
      <c r="J161" s="72"/>
    </row>
    <row r="162" spans="1:10" ht="24" x14ac:dyDescent="0.25">
      <c r="A162" s="115">
        <v>105</v>
      </c>
      <c r="B162" s="139" t="s">
        <v>625</v>
      </c>
      <c r="C162" s="140" t="s">
        <v>1209</v>
      </c>
      <c r="D162" s="56">
        <v>42830</v>
      </c>
      <c r="E162" s="56">
        <v>43100</v>
      </c>
      <c r="F162" s="8">
        <v>12000</v>
      </c>
      <c r="G162" s="8">
        <v>15000</v>
      </c>
      <c r="H162" s="129" t="s">
        <v>1100</v>
      </c>
      <c r="I162" s="37">
        <v>10794.68</v>
      </c>
      <c r="J162" s="72"/>
    </row>
    <row r="163" spans="1:10" ht="24" x14ac:dyDescent="0.25">
      <c r="A163" s="115">
        <v>106</v>
      </c>
      <c r="B163" s="139" t="s">
        <v>508</v>
      </c>
      <c r="C163" s="140" t="s">
        <v>1210</v>
      </c>
      <c r="D163" s="56">
        <v>42830</v>
      </c>
      <c r="E163" s="56">
        <v>43100</v>
      </c>
      <c r="F163" s="8">
        <v>100000</v>
      </c>
      <c r="G163" s="8">
        <v>125000</v>
      </c>
      <c r="H163" s="129" t="s">
        <v>1100</v>
      </c>
      <c r="I163" s="37">
        <v>45952.19</v>
      </c>
      <c r="J163" s="72"/>
    </row>
    <row r="164" spans="1:10" ht="24" x14ac:dyDescent="0.25">
      <c r="A164" s="115">
        <v>107</v>
      </c>
      <c r="B164" s="139" t="s">
        <v>734</v>
      </c>
      <c r="C164" s="140" t="s">
        <v>1211</v>
      </c>
      <c r="D164" s="56">
        <v>42829</v>
      </c>
      <c r="E164" s="56">
        <v>43100</v>
      </c>
      <c r="F164" s="8">
        <v>0</v>
      </c>
      <c r="G164" s="8">
        <v>0</v>
      </c>
      <c r="H164" s="129" t="s">
        <v>1100</v>
      </c>
      <c r="I164" s="37">
        <v>3209.11</v>
      </c>
      <c r="J164" s="72"/>
    </row>
    <row r="165" spans="1:10" ht="24" x14ac:dyDescent="0.25">
      <c r="A165" s="115">
        <v>108</v>
      </c>
      <c r="B165" s="139" t="s">
        <v>495</v>
      </c>
      <c r="C165" s="140" t="s">
        <v>1212</v>
      </c>
      <c r="D165" s="56">
        <v>42870</v>
      </c>
      <c r="E165" s="56">
        <v>43100</v>
      </c>
      <c r="F165" s="8">
        <v>60000</v>
      </c>
      <c r="G165" s="8">
        <v>75000</v>
      </c>
      <c r="H165" s="129" t="s">
        <v>1100</v>
      </c>
      <c r="I165" s="37">
        <v>14330.51</v>
      </c>
      <c r="J165" s="72"/>
    </row>
    <row r="166" spans="1:10" x14ac:dyDescent="0.25">
      <c r="A166" s="115">
        <v>109</v>
      </c>
      <c r="B166" s="139" t="s">
        <v>523</v>
      </c>
      <c r="C166" s="140" t="s">
        <v>1213</v>
      </c>
      <c r="D166" s="56">
        <v>42828</v>
      </c>
      <c r="E166" s="56">
        <v>43100</v>
      </c>
      <c r="F166" s="8">
        <v>105000</v>
      </c>
      <c r="G166" s="8">
        <v>131250</v>
      </c>
      <c r="H166" s="129" t="s">
        <v>1100</v>
      </c>
      <c r="I166" s="37">
        <v>37724.01</v>
      </c>
      <c r="J166" s="72"/>
    </row>
    <row r="167" spans="1:10" ht="24" x14ac:dyDescent="0.25">
      <c r="A167" s="115">
        <v>110</v>
      </c>
      <c r="B167" s="139" t="s">
        <v>600</v>
      </c>
      <c r="C167" s="140" t="s">
        <v>1214</v>
      </c>
      <c r="D167" s="56">
        <v>42825</v>
      </c>
      <c r="E167" s="56">
        <v>43100</v>
      </c>
      <c r="F167" s="8">
        <v>2224</v>
      </c>
      <c r="G167" s="8">
        <v>2780</v>
      </c>
      <c r="H167" s="129" t="s">
        <v>1100</v>
      </c>
      <c r="I167" s="37">
        <v>2890.6</v>
      </c>
      <c r="J167" s="72"/>
    </row>
    <row r="168" spans="1:10" ht="24" x14ac:dyDescent="0.25">
      <c r="A168" s="115">
        <v>111</v>
      </c>
      <c r="B168" s="139" t="s">
        <v>791</v>
      </c>
      <c r="C168" s="140" t="s">
        <v>1215</v>
      </c>
      <c r="D168" s="56">
        <v>42826</v>
      </c>
      <c r="E168" s="56">
        <v>43100</v>
      </c>
      <c r="F168" s="8">
        <v>6000</v>
      </c>
      <c r="G168" s="8">
        <v>7500</v>
      </c>
      <c r="H168" s="129" t="s">
        <v>1100</v>
      </c>
      <c r="I168" s="37">
        <v>2657</v>
      </c>
      <c r="J168" s="72"/>
    </row>
    <row r="169" spans="1:10" ht="24" x14ac:dyDescent="0.25">
      <c r="A169" s="115">
        <v>112</v>
      </c>
      <c r="B169" s="139" t="s">
        <v>526</v>
      </c>
      <c r="C169" s="140" t="s">
        <v>1216</v>
      </c>
      <c r="D169" s="56">
        <v>42826</v>
      </c>
      <c r="E169" s="56">
        <v>43099</v>
      </c>
      <c r="F169" s="8">
        <v>2800</v>
      </c>
      <c r="G169" s="8">
        <v>3500</v>
      </c>
      <c r="H169" s="129" t="s">
        <v>1473</v>
      </c>
      <c r="I169" s="37">
        <v>761.24</v>
      </c>
      <c r="J169" s="72"/>
    </row>
    <row r="170" spans="1:10" ht="36" x14ac:dyDescent="0.25">
      <c r="A170" s="115">
        <v>113</v>
      </c>
      <c r="B170" s="139" t="s">
        <v>726</v>
      </c>
      <c r="C170" s="140" t="s">
        <v>1217</v>
      </c>
      <c r="D170" s="56">
        <v>42826</v>
      </c>
      <c r="E170" s="56">
        <v>43100</v>
      </c>
      <c r="F170" s="8">
        <v>0</v>
      </c>
      <c r="G170" s="8">
        <v>0</v>
      </c>
      <c r="H170" s="129" t="s">
        <v>1100</v>
      </c>
      <c r="I170" s="37">
        <v>4551.88</v>
      </c>
      <c r="J170" s="72"/>
    </row>
    <row r="171" spans="1:10" ht="24" x14ac:dyDescent="0.25">
      <c r="A171" s="115">
        <v>114</v>
      </c>
      <c r="B171" s="139" t="s">
        <v>673</v>
      </c>
      <c r="C171" s="140" t="s">
        <v>1218</v>
      </c>
      <c r="D171" s="56">
        <v>42824</v>
      </c>
      <c r="E171" s="56">
        <v>43100</v>
      </c>
      <c r="F171" s="8">
        <v>5800</v>
      </c>
      <c r="G171" s="8">
        <v>7250</v>
      </c>
      <c r="H171" s="129" t="s">
        <v>1100</v>
      </c>
      <c r="I171" s="37">
        <v>6595.89</v>
      </c>
      <c r="J171" s="72"/>
    </row>
    <row r="172" spans="1:10" ht="24" x14ac:dyDescent="0.25">
      <c r="A172" s="115">
        <v>115</v>
      </c>
      <c r="B172" s="139" t="s">
        <v>619</v>
      </c>
      <c r="C172" s="140" t="s">
        <v>1219</v>
      </c>
      <c r="D172" s="56">
        <v>42874</v>
      </c>
      <c r="E172" s="56">
        <v>43100</v>
      </c>
      <c r="F172" s="8">
        <v>0</v>
      </c>
      <c r="G172" s="8">
        <v>0</v>
      </c>
      <c r="H172" s="129" t="s">
        <v>1102</v>
      </c>
      <c r="I172" s="37">
        <v>2450.94</v>
      </c>
      <c r="J172" s="72"/>
    </row>
    <row r="173" spans="1:10" ht="24" x14ac:dyDescent="0.25">
      <c r="A173" s="115">
        <v>116</v>
      </c>
      <c r="B173" s="139" t="s">
        <v>792</v>
      </c>
      <c r="C173" s="140" t="s">
        <v>1220</v>
      </c>
      <c r="D173" s="56">
        <v>42826</v>
      </c>
      <c r="E173" s="56">
        <v>43100</v>
      </c>
      <c r="F173" s="8">
        <v>800</v>
      </c>
      <c r="G173" s="8">
        <v>1000</v>
      </c>
      <c r="H173" s="129" t="s">
        <v>1100</v>
      </c>
      <c r="I173" s="37">
        <v>755.41</v>
      </c>
      <c r="J173" s="72"/>
    </row>
    <row r="174" spans="1:10" ht="36" x14ac:dyDescent="0.25">
      <c r="A174" s="115">
        <v>117</v>
      </c>
      <c r="B174" s="139" t="s">
        <v>635</v>
      </c>
      <c r="C174" s="140" t="s">
        <v>1221</v>
      </c>
      <c r="D174" s="56">
        <v>42835</v>
      </c>
      <c r="E174" s="56">
        <v>43100</v>
      </c>
      <c r="F174" s="8">
        <v>76555.199999999997</v>
      </c>
      <c r="G174" s="8">
        <v>95694</v>
      </c>
      <c r="H174" s="129" t="s">
        <v>1100</v>
      </c>
      <c r="I174" s="37">
        <v>4822</v>
      </c>
      <c r="J174" s="72"/>
    </row>
    <row r="175" spans="1:10" ht="24" x14ac:dyDescent="0.25">
      <c r="A175" s="115">
        <v>118</v>
      </c>
      <c r="B175" s="139" t="s">
        <v>720</v>
      </c>
      <c r="C175" s="140" t="s">
        <v>1222</v>
      </c>
      <c r="D175" s="56">
        <v>42877</v>
      </c>
      <c r="E175" s="56">
        <v>43100</v>
      </c>
      <c r="F175" s="8">
        <v>5814</v>
      </c>
      <c r="G175" s="8">
        <v>7267.5</v>
      </c>
      <c r="H175" s="129" t="s">
        <v>1100</v>
      </c>
      <c r="I175" s="37">
        <v>1925.61</v>
      </c>
      <c r="J175" s="72"/>
    </row>
    <row r="176" spans="1:10" ht="24" x14ac:dyDescent="0.25">
      <c r="A176" s="115">
        <v>119</v>
      </c>
      <c r="B176" s="139" t="s">
        <v>763</v>
      </c>
      <c r="C176" s="140" t="s">
        <v>1223</v>
      </c>
      <c r="D176" s="56">
        <v>42826</v>
      </c>
      <c r="E176" s="56">
        <v>43100</v>
      </c>
      <c r="F176" s="8">
        <v>10000</v>
      </c>
      <c r="G176" s="8">
        <v>12500</v>
      </c>
      <c r="H176" s="129" t="s">
        <v>1100</v>
      </c>
      <c r="I176" s="37">
        <v>3857.25</v>
      </c>
      <c r="J176" s="72"/>
    </row>
    <row r="177" spans="1:10" ht="24" x14ac:dyDescent="0.25">
      <c r="A177" s="115">
        <v>120</v>
      </c>
      <c r="B177" s="139" t="s">
        <v>870</v>
      </c>
      <c r="C177" s="140" t="s">
        <v>1224</v>
      </c>
      <c r="D177" s="56">
        <v>42826</v>
      </c>
      <c r="E177" s="56">
        <v>43100</v>
      </c>
      <c r="F177" s="8">
        <v>0</v>
      </c>
      <c r="G177" s="8">
        <v>0</v>
      </c>
      <c r="H177" s="129" t="s">
        <v>1100</v>
      </c>
      <c r="I177" s="37">
        <v>10094.15</v>
      </c>
      <c r="J177" s="72"/>
    </row>
    <row r="178" spans="1:10" ht="24" x14ac:dyDescent="0.25">
      <c r="A178" s="115">
        <v>121</v>
      </c>
      <c r="B178" s="139" t="s">
        <v>543</v>
      </c>
      <c r="C178" s="140" t="s">
        <v>1225</v>
      </c>
      <c r="D178" s="56">
        <v>42836</v>
      </c>
      <c r="E178" s="56">
        <v>42836</v>
      </c>
      <c r="F178" s="8">
        <v>0</v>
      </c>
      <c r="G178" s="8">
        <v>0</v>
      </c>
      <c r="H178" s="129" t="s">
        <v>1100</v>
      </c>
      <c r="I178" s="37">
        <v>32365.46</v>
      </c>
      <c r="J178" s="72"/>
    </row>
    <row r="179" spans="1:10" ht="24" x14ac:dyDescent="0.25">
      <c r="A179" s="115">
        <v>122</v>
      </c>
      <c r="B179" s="139" t="s">
        <v>852</v>
      </c>
      <c r="C179" s="140" t="s">
        <v>1226</v>
      </c>
      <c r="D179" s="10" t="s">
        <v>971</v>
      </c>
      <c r="E179" s="56">
        <v>43100</v>
      </c>
      <c r="F179" s="8">
        <v>0</v>
      </c>
      <c r="G179" s="8">
        <v>0</v>
      </c>
      <c r="H179" s="129" t="s">
        <v>1100</v>
      </c>
      <c r="I179" s="37">
        <v>2227.66</v>
      </c>
      <c r="J179" s="72"/>
    </row>
    <row r="180" spans="1:10" ht="36" x14ac:dyDescent="0.25">
      <c r="A180" s="115">
        <v>123</v>
      </c>
      <c r="B180" s="139" t="s">
        <v>476</v>
      </c>
      <c r="C180" s="140" t="s">
        <v>1227</v>
      </c>
      <c r="D180" s="56">
        <v>42849</v>
      </c>
      <c r="E180" s="56">
        <v>43100</v>
      </c>
      <c r="F180" s="8">
        <v>42912</v>
      </c>
      <c r="G180" s="8">
        <v>53640</v>
      </c>
      <c r="H180" s="129" t="s">
        <v>1100</v>
      </c>
      <c r="I180" s="37">
        <v>22365.61</v>
      </c>
      <c r="J180" s="72"/>
    </row>
    <row r="181" spans="1:10" ht="24" x14ac:dyDescent="0.25">
      <c r="A181" s="115">
        <v>124</v>
      </c>
      <c r="B181" s="139" t="s">
        <v>674</v>
      </c>
      <c r="C181" s="140" t="s">
        <v>1228</v>
      </c>
      <c r="D181" s="56">
        <v>42823</v>
      </c>
      <c r="E181" s="56">
        <v>43100</v>
      </c>
      <c r="F181" s="8">
        <v>5650</v>
      </c>
      <c r="G181" s="8">
        <v>7062.5</v>
      </c>
      <c r="H181" s="129" t="s">
        <v>1100</v>
      </c>
      <c r="I181" s="37">
        <v>4240.41</v>
      </c>
      <c r="J181" s="72"/>
    </row>
    <row r="182" spans="1:10" ht="36" x14ac:dyDescent="0.25">
      <c r="A182" s="115">
        <v>125</v>
      </c>
      <c r="B182" s="139" t="s">
        <v>640</v>
      </c>
      <c r="C182" s="140" t="s">
        <v>1229</v>
      </c>
      <c r="D182" s="56">
        <v>42823</v>
      </c>
      <c r="E182" s="56">
        <v>43100</v>
      </c>
      <c r="F182" s="8">
        <v>0</v>
      </c>
      <c r="G182" s="8">
        <v>0</v>
      </c>
      <c r="H182" s="129" t="s">
        <v>1100</v>
      </c>
      <c r="I182" s="37">
        <v>46968.69</v>
      </c>
      <c r="J182" s="72"/>
    </row>
    <row r="183" spans="1:10" ht="36" x14ac:dyDescent="0.25">
      <c r="A183" s="115">
        <v>126</v>
      </c>
      <c r="B183" s="139" t="s">
        <v>805</v>
      </c>
      <c r="C183" s="140" t="s">
        <v>1230</v>
      </c>
      <c r="D183" s="56">
        <v>42823</v>
      </c>
      <c r="E183" s="56">
        <v>43100</v>
      </c>
      <c r="F183" s="8">
        <v>6000</v>
      </c>
      <c r="G183" s="8">
        <v>7500</v>
      </c>
      <c r="H183" s="129" t="s">
        <v>1100</v>
      </c>
      <c r="I183" s="37">
        <v>4855.83</v>
      </c>
      <c r="J183" s="72"/>
    </row>
    <row r="184" spans="1:10" ht="24" x14ac:dyDescent="0.25">
      <c r="A184" s="115">
        <v>127</v>
      </c>
      <c r="B184" s="139" t="s">
        <v>574</v>
      </c>
      <c r="C184" s="140" t="s">
        <v>1231</v>
      </c>
      <c r="D184" s="56">
        <v>42369</v>
      </c>
      <c r="E184" s="56">
        <v>43100</v>
      </c>
      <c r="F184" s="8">
        <v>20945502.719999999</v>
      </c>
      <c r="G184" s="8">
        <v>25839878.399999999</v>
      </c>
      <c r="H184" s="129" t="s">
        <v>1100</v>
      </c>
      <c r="I184" s="37">
        <v>1684.52</v>
      </c>
      <c r="J184" s="72"/>
    </row>
    <row r="185" spans="1:10" ht="24" x14ac:dyDescent="0.25">
      <c r="A185" s="115">
        <v>128</v>
      </c>
      <c r="B185" s="139" t="s">
        <v>778</v>
      </c>
      <c r="C185" s="140" t="s">
        <v>1232</v>
      </c>
      <c r="D185" s="56">
        <v>42369</v>
      </c>
      <c r="E185" s="56">
        <v>43100</v>
      </c>
      <c r="F185" s="8">
        <v>14400</v>
      </c>
      <c r="G185" s="8">
        <v>18000</v>
      </c>
      <c r="H185" s="129" t="s">
        <v>1100</v>
      </c>
      <c r="I185" s="37">
        <v>18047.8</v>
      </c>
      <c r="J185" s="72"/>
    </row>
    <row r="186" spans="1:10" ht="24" x14ac:dyDescent="0.25">
      <c r="A186" s="115">
        <v>129</v>
      </c>
      <c r="B186" s="139" t="s">
        <v>576</v>
      </c>
      <c r="C186" s="140" t="s">
        <v>1233</v>
      </c>
      <c r="D186" s="56">
        <v>42821</v>
      </c>
      <c r="E186" s="56">
        <v>43100</v>
      </c>
      <c r="F186" s="8">
        <v>9000</v>
      </c>
      <c r="G186" s="8">
        <v>11250</v>
      </c>
      <c r="H186" s="129" t="s">
        <v>1100</v>
      </c>
      <c r="I186" s="37">
        <v>5934.05</v>
      </c>
      <c r="J186" s="72"/>
    </row>
    <row r="187" spans="1:10" ht="24" x14ac:dyDescent="0.25">
      <c r="A187" s="115">
        <v>130</v>
      </c>
      <c r="B187" s="139" t="s">
        <v>898</v>
      </c>
      <c r="C187" s="140" t="s">
        <v>1234</v>
      </c>
      <c r="D187" s="56">
        <v>42818</v>
      </c>
      <c r="E187" s="56">
        <v>43100</v>
      </c>
      <c r="F187" s="8">
        <v>1500</v>
      </c>
      <c r="G187" s="8">
        <v>1875</v>
      </c>
      <c r="H187" s="129" t="s">
        <v>1100</v>
      </c>
      <c r="I187" s="37">
        <v>5473.18</v>
      </c>
      <c r="J187" s="72"/>
    </row>
    <row r="188" spans="1:10" x14ac:dyDescent="0.25">
      <c r="A188" s="115">
        <v>131</v>
      </c>
      <c r="B188" s="139" t="s">
        <v>662</v>
      </c>
      <c r="C188" s="140" t="s">
        <v>1235</v>
      </c>
      <c r="D188" s="56">
        <v>43039</v>
      </c>
      <c r="E188" s="56">
        <v>43100</v>
      </c>
      <c r="F188" s="8">
        <v>7000</v>
      </c>
      <c r="G188" s="8">
        <v>8750</v>
      </c>
      <c r="H188" s="129" t="s">
        <v>1474</v>
      </c>
      <c r="I188" s="37">
        <v>4809.28</v>
      </c>
      <c r="J188" s="72"/>
    </row>
    <row r="189" spans="1:10" ht="24" x14ac:dyDescent="0.25">
      <c r="A189" s="115">
        <v>132</v>
      </c>
      <c r="B189" s="139" t="s">
        <v>596</v>
      </c>
      <c r="C189" s="140" t="s">
        <v>1236</v>
      </c>
      <c r="D189" s="56">
        <v>42836</v>
      </c>
      <c r="E189" s="56">
        <v>43100</v>
      </c>
      <c r="F189" s="8">
        <v>33539.07</v>
      </c>
      <c r="G189" s="8">
        <v>41923.839999999997</v>
      </c>
      <c r="H189" s="129" t="s">
        <v>1100</v>
      </c>
      <c r="I189" s="37">
        <v>11275.26</v>
      </c>
      <c r="J189" s="72"/>
    </row>
    <row r="190" spans="1:10" ht="24" x14ac:dyDescent="0.25">
      <c r="A190" s="115">
        <v>133</v>
      </c>
      <c r="B190" s="139" t="s">
        <v>685</v>
      </c>
      <c r="C190" s="140" t="s">
        <v>1237</v>
      </c>
      <c r="D190" s="56">
        <v>42816</v>
      </c>
      <c r="E190" s="56">
        <v>43100</v>
      </c>
      <c r="F190" s="8">
        <v>522</v>
      </c>
      <c r="G190" s="8">
        <v>652.5</v>
      </c>
      <c r="H190" s="129" t="s">
        <v>1100</v>
      </c>
      <c r="I190" s="37">
        <v>4461.78</v>
      </c>
      <c r="J190" s="72"/>
    </row>
    <row r="191" spans="1:10" ht="24" x14ac:dyDescent="0.25">
      <c r="A191" s="115">
        <v>134</v>
      </c>
      <c r="B191" s="139" t="s">
        <v>958</v>
      </c>
      <c r="C191" s="140" t="s">
        <v>1238</v>
      </c>
      <c r="D191" s="56">
        <v>42815</v>
      </c>
      <c r="E191" s="56">
        <v>43100</v>
      </c>
      <c r="F191" s="8">
        <v>4704</v>
      </c>
      <c r="G191" s="8">
        <v>5880</v>
      </c>
      <c r="H191" s="129" t="s">
        <v>1100</v>
      </c>
      <c r="I191" s="37">
        <v>1933.75</v>
      </c>
      <c r="J191" s="72"/>
    </row>
    <row r="192" spans="1:10" ht="36" x14ac:dyDescent="0.25">
      <c r="A192" s="115">
        <v>135</v>
      </c>
      <c r="B192" s="139" t="s">
        <v>782</v>
      </c>
      <c r="C192" s="140" t="s">
        <v>1239</v>
      </c>
      <c r="D192" s="56">
        <v>42811</v>
      </c>
      <c r="E192" s="56">
        <v>43100</v>
      </c>
      <c r="F192" s="8">
        <v>0</v>
      </c>
      <c r="G192" s="8">
        <v>0</v>
      </c>
      <c r="H192" s="129" t="s">
        <v>1100</v>
      </c>
      <c r="I192" s="37">
        <v>1312.81</v>
      </c>
      <c r="J192" s="72"/>
    </row>
    <row r="193" spans="1:10" ht="24" x14ac:dyDescent="0.25">
      <c r="A193" s="115">
        <v>136</v>
      </c>
      <c r="B193" s="139" t="s">
        <v>812</v>
      </c>
      <c r="C193" s="140" t="s">
        <v>1240</v>
      </c>
      <c r="D193" s="56">
        <v>42808</v>
      </c>
      <c r="E193" s="56">
        <v>43100</v>
      </c>
      <c r="F193" s="8">
        <v>11200</v>
      </c>
      <c r="G193" s="8">
        <v>14000</v>
      </c>
      <c r="H193" s="129" t="s">
        <v>1100</v>
      </c>
      <c r="I193" s="37">
        <v>5077.12</v>
      </c>
      <c r="J193" s="72"/>
    </row>
    <row r="194" spans="1:10" ht="24" x14ac:dyDescent="0.25">
      <c r="A194" s="115">
        <v>137</v>
      </c>
      <c r="B194" s="139" t="s">
        <v>510</v>
      </c>
      <c r="C194" s="140" t="s">
        <v>1241</v>
      </c>
      <c r="D194" s="56">
        <v>42804</v>
      </c>
      <c r="E194" s="56">
        <v>43100</v>
      </c>
      <c r="F194" s="8">
        <v>1010.91</v>
      </c>
      <c r="G194" s="8">
        <v>1263.6400000000001</v>
      </c>
      <c r="H194" s="129" t="s">
        <v>1100</v>
      </c>
      <c r="I194" s="37">
        <v>644.66</v>
      </c>
      <c r="J194" s="72"/>
    </row>
    <row r="195" spans="1:10" ht="24" x14ac:dyDescent="0.25">
      <c r="A195" s="115">
        <v>138</v>
      </c>
      <c r="B195" s="139" t="s">
        <v>827</v>
      </c>
      <c r="C195" s="140" t="s">
        <v>1242</v>
      </c>
      <c r="D195" s="56">
        <v>42803</v>
      </c>
      <c r="E195" s="56">
        <v>43168</v>
      </c>
      <c r="F195" s="8">
        <v>0</v>
      </c>
      <c r="G195" s="8">
        <v>0</v>
      </c>
      <c r="H195" s="129" t="s">
        <v>1100</v>
      </c>
      <c r="I195" s="37">
        <v>1817.12</v>
      </c>
      <c r="J195" s="72"/>
    </row>
    <row r="196" spans="1:10" ht="24" x14ac:dyDescent="0.25">
      <c r="A196" s="115">
        <v>139</v>
      </c>
      <c r="B196" s="139" t="s">
        <v>667</v>
      </c>
      <c r="C196" s="140" t="s">
        <v>1243</v>
      </c>
      <c r="D196" s="56">
        <v>42803</v>
      </c>
      <c r="E196" s="56">
        <v>43100</v>
      </c>
      <c r="F196" s="8">
        <v>2800</v>
      </c>
      <c r="G196" s="8">
        <v>3500</v>
      </c>
      <c r="H196" s="129" t="s">
        <v>1100</v>
      </c>
      <c r="I196" s="37">
        <v>1494.92</v>
      </c>
      <c r="J196" s="72"/>
    </row>
    <row r="197" spans="1:10" ht="36" x14ac:dyDescent="0.25">
      <c r="A197" s="115">
        <v>140</v>
      </c>
      <c r="B197" s="139" t="s">
        <v>741</v>
      </c>
      <c r="C197" s="140" t="s">
        <v>1244</v>
      </c>
      <c r="D197" s="56">
        <v>42803</v>
      </c>
      <c r="E197" s="56">
        <v>43100</v>
      </c>
      <c r="F197" s="8">
        <v>24000</v>
      </c>
      <c r="G197" s="8">
        <v>30000</v>
      </c>
      <c r="H197" s="129" t="s">
        <v>1100</v>
      </c>
      <c r="I197" s="37">
        <v>18651.66</v>
      </c>
      <c r="J197" s="72"/>
    </row>
    <row r="198" spans="1:10" ht="24" x14ac:dyDescent="0.25">
      <c r="A198" s="115">
        <v>141</v>
      </c>
      <c r="B198" s="139" t="s">
        <v>959</v>
      </c>
      <c r="C198" s="140" t="s">
        <v>1245</v>
      </c>
      <c r="D198" s="56">
        <v>42786</v>
      </c>
      <c r="E198" s="56">
        <v>43100</v>
      </c>
      <c r="F198" s="8">
        <v>0</v>
      </c>
      <c r="G198" s="8">
        <v>0</v>
      </c>
      <c r="H198" s="129" t="s">
        <v>1100</v>
      </c>
      <c r="I198" s="37">
        <v>7413.18</v>
      </c>
      <c r="J198" s="72"/>
    </row>
    <row r="199" spans="1:10" ht="36" x14ac:dyDescent="0.25">
      <c r="A199" s="115">
        <v>142</v>
      </c>
      <c r="B199" s="139" t="s">
        <v>598</v>
      </c>
      <c r="C199" s="140" t="s">
        <v>1246</v>
      </c>
      <c r="D199" s="56">
        <v>42803</v>
      </c>
      <c r="E199" s="56">
        <v>43100</v>
      </c>
      <c r="F199" s="8">
        <v>16000</v>
      </c>
      <c r="G199" s="8">
        <v>20000</v>
      </c>
      <c r="H199" s="129" t="s">
        <v>1100</v>
      </c>
      <c r="I199" s="37">
        <v>6017.01</v>
      </c>
      <c r="J199" s="72"/>
    </row>
    <row r="200" spans="1:10" x14ac:dyDescent="0.25">
      <c r="A200" s="115">
        <v>143</v>
      </c>
      <c r="B200" s="139" t="s">
        <v>645</v>
      </c>
      <c r="C200" s="140" t="s">
        <v>1247</v>
      </c>
      <c r="D200" s="56">
        <v>42801</v>
      </c>
      <c r="E200" s="56">
        <v>43166</v>
      </c>
      <c r="F200" s="8">
        <v>5000</v>
      </c>
      <c r="G200" s="8">
        <v>6250</v>
      </c>
      <c r="H200" s="129" t="s">
        <v>1100</v>
      </c>
      <c r="I200" s="37">
        <v>1510.08</v>
      </c>
      <c r="J200" s="72"/>
    </row>
    <row r="201" spans="1:10" ht="48" x14ac:dyDescent="0.25">
      <c r="A201" s="115">
        <v>144</v>
      </c>
      <c r="B201" s="139" t="s">
        <v>904</v>
      </c>
      <c r="C201" s="140" t="s">
        <v>1248</v>
      </c>
      <c r="D201" s="56">
        <v>42797</v>
      </c>
      <c r="E201" s="56">
        <v>43100</v>
      </c>
      <c r="F201" s="8">
        <v>62000</v>
      </c>
      <c r="G201" s="8">
        <v>77500</v>
      </c>
      <c r="H201" s="129" t="s">
        <v>1100</v>
      </c>
      <c r="I201" s="37">
        <v>19707.330000000002</v>
      </c>
      <c r="J201" s="72"/>
    </row>
    <row r="202" spans="1:10" ht="24" x14ac:dyDescent="0.25">
      <c r="A202" s="115">
        <v>145</v>
      </c>
      <c r="B202" s="139" t="s">
        <v>823</v>
      </c>
      <c r="C202" s="140" t="s">
        <v>1249</v>
      </c>
      <c r="D202" s="56">
        <v>42796</v>
      </c>
      <c r="E202" s="56">
        <v>43100</v>
      </c>
      <c r="F202" s="8">
        <v>15000</v>
      </c>
      <c r="G202" s="8">
        <v>18750</v>
      </c>
      <c r="H202" s="129" t="s">
        <v>1100</v>
      </c>
      <c r="I202" s="37">
        <v>11250.34</v>
      </c>
      <c r="J202" s="72"/>
    </row>
    <row r="203" spans="1:10" ht="24" x14ac:dyDescent="0.25">
      <c r="A203" s="115">
        <v>146</v>
      </c>
      <c r="B203" s="139" t="s">
        <v>482</v>
      </c>
      <c r="C203" s="140" t="s">
        <v>1250</v>
      </c>
      <c r="D203" s="56">
        <v>42795</v>
      </c>
      <c r="E203" s="56">
        <v>43100</v>
      </c>
      <c r="F203" s="8">
        <v>8000</v>
      </c>
      <c r="G203" s="8">
        <v>10000</v>
      </c>
      <c r="H203" s="129" t="s">
        <v>1100</v>
      </c>
      <c r="I203" s="37">
        <v>9173.4599999999991</v>
      </c>
      <c r="J203" s="72"/>
    </row>
    <row r="204" spans="1:10" ht="24" x14ac:dyDescent="0.25">
      <c r="A204" s="115">
        <v>147</v>
      </c>
      <c r="B204" s="139" t="s">
        <v>721</v>
      </c>
      <c r="C204" s="140" t="s">
        <v>1251</v>
      </c>
      <c r="D204" s="56">
        <v>42772</v>
      </c>
      <c r="E204" s="56">
        <v>43100</v>
      </c>
      <c r="F204" s="8">
        <v>60000</v>
      </c>
      <c r="G204" s="8">
        <v>75000</v>
      </c>
      <c r="H204" s="129" t="s">
        <v>1100</v>
      </c>
      <c r="I204" s="37">
        <v>22768.59</v>
      </c>
      <c r="J204" s="72"/>
    </row>
    <row r="205" spans="1:10" ht="24" x14ac:dyDescent="0.25">
      <c r="A205" s="115">
        <v>148</v>
      </c>
      <c r="B205" s="139" t="s">
        <v>645</v>
      </c>
      <c r="C205" s="140" t="s">
        <v>1252</v>
      </c>
      <c r="D205" s="56">
        <v>42795</v>
      </c>
      <c r="E205" s="56">
        <v>43160</v>
      </c>
      <c r="F205" s="8">
        <v>9600</v>
      </c>
      <c r="G205" s="8">
        <v>12000</v>
      </c>
      <c r="H205" s="129" t="s">
        <v>1100</v>
      </c>
      <c r="I205" s="37">
        <v>1510.08</v>
      </c>
      <c r="J205" s="72"/>
    </row>
    <row r="206" spans="1:10" ht="24" x14ac:dyDescent="0.25">
      <c r="A206" s="115">
        <v>149</v>
      </c>
      <c r="B206" s="139" t="s">
        <v>561</v>
      </c>
      <c r="C206" s="140" t="s">
        <v>1253</v>
      </c>
      <c r="D206" s="56">
        <v>42795</v>
      </c>
      <c r="E206" s="56">
        <v>43100</v>
      </c>
      <c r="F206" s="8">
        <v>23000</v>
      </c>
      <c r="G206" s="8">
        <v>28750</v>
      </c>
      <c r="H206" s="129" t="s">
        <v>1105</v>
      </c>
      <c r="I206" s="37">
        <v>3245.35</v>
      </c>
      <c r="J206" s="72"/>
    </row>
    <row r="207" spans="1:10" ht="24" x14ac:dyDescent="0.25">
      <c r="A207" s="115">
        <v>150</v>
      </c>
      <c r="B207" s="139" t="s">
        <v>850</v>
      </c>
      <c r="C207" s="140" t="s">
        <v>1254</v>
      </c>
      <c r="D207" s="56">
        <v>42795</v>
      </c>
      <c r="E207" s="56">
        <v>43159</v>
      </c>
      <c r="F207" s="8">
        <v>5760</v>
      </c>
      <c r="G207" s="8">
        <v>7200</v>
      </c>
      <c r="H207" s="129" t="s">
        <v>1100</v>
      </c>
      <c r="I207" s="37">
        <v>2011.89</v>
      </c>
      <c r="J207" s="72"/>
    </row>
    <row r="208" spans="1:10" ht="24" x14ac:dyDescent="0.25">
      <c r="A208" s="115">
        <v>151</v>
      </c>
      <c r="B208" s="139" t="s">
        <v>644</v>
      </c>
      <c r="C208" s="140" t="s">
        <v>1255</v>
      </c>
      <c r="D208" s="56">
        <v>42522</v>
      </c>
      <c r="E208" s="56">
        <v>43100</v>
      </c>
      <c r="F208" s="8">
        <v>0</v>
      </c>
      <c r="G208" s="8">
        <v>0</v>
      </c>
      <c r="H208" s="129" t="s">
        <v>1100</v>
      </c>
      <c r="I208" s="37">
        <v>358.71</v>
      </c>
      <c r="J208" s="72"/>
    </row>
    <row r="209" spans="1:10" ht="24" x14ac:dyDescent="0.25">
      <c r="A209" s="115">
        <v>152</v>
      </c>
      <c r="B209" s="139" t="s">
        <v>736</v>
      </c>
      <c r="C209" s="140" t="s">
        <v>1256</v>
      </c>
      <c r="D209" s="56">
        <v>42767</v>
      </c>
      <c r="E209" s="56">
        <v>43159</v>
      </c>
      <c r="F209" s="8">
        <v>4000</v>
      </c>
      <c r="G209" s="8">
        <v>5000</v>
      </c>
      <c r="H209" s="129" t="s">
        <v>1100</v>
      </c>
      <c r="I209" s="37">
        <v>827.76</v>
      </c>
      <c r="J209" s="72"/>
    </row>
    <row r="210" spans="1:10" ht="36" x14ac:dyDescent="0.25">
      <c r="A210" s="115">
        <v>153</v>
      </c>
      <c r="B210" s="139" t="s">
        <v>601</v>
      </c>
      <c r="C210" s="140" t="s">
        <v>1257</v>
      </c>
      <c r="D210" s="56">
        <v>42861</v>
      </c>
      <c r="E210" s="56">
        <v>43100</v>
      </c>
      <c r="F210" s="8">
        <v>71600</v>
      </c>
      <c r="G210" s="8">
        <v>89500</v>
      </c>
      <c r="H210" s="129" t="s">
        <v>1100</v>
      </c>
      <c r="I210" s="37">
        <v>69547.33</v>
      </c>
      <c r="J210" s="72"/>
    </row>
    <row r="211" spans="1:10" ht="24" x14ac:dyDescent="0.25">
      <c r="A211" s="115">
        <v>154</v>
      </c>
      <c r="B211" s="139" t="s">
        <v>17</v>
      </c>
      <c r="C211" s="140" t="s">
        <v>1258</v>
      </c>
      <c r="D211" s="56">
        <v>42795</v>
      </c>
      <c r="E211" s="56">
        <v>43100</v>
      </c>
      <c r="F211" s="8">
        <v>200000</v>
      </c>
      <c r="G211" s="8">
        <v>250000</v>
      </c>
      <c r="H211" s="129" t="s">
        <v>1100</v>
      </c>
      <c r="I211" s="37">
        <v>206562.91</v>
      </c>
      <c r="J211" s="72"/>
    </row>
    <row r="212" spans="1:10" ht="24" x14ac:dyDescent="0.25">
      <c r="A212" s="115">
        <v>155</v>
      </c>
      <c r="B212" s="139" t="s">
        <v>830</v>
      </c>
      <c r="C212" s="140" t="s">
        <v>1259</v>
      </c>
      <c r="D212" s="56">
        <v>42452</v>
      </c>
      <c r="E212" s="56">
        <v>43100</v>
      </c>
      <c r="F212" s="8">
        <v>1000</v>
      </c>
      <c r="G212" s="8">
        <v>1250</v>
      </c>
      <c r="H212" s="129" t="s">
        <v>1100</v>
      </c>
      <c r="I212" s="37">
        <v>843.29</v>
      </c>
      <c r="J212" s="72"/>
    </row>
    <row r="213" spans="1:10" ht="24" x14ac:dyDescent="0.25">
      <c r="A213" s="115">
        <v>156</v>
      </c>
      <c r="B213" s="139" t="s">
        <v>615</v>
      </c>
      <c r="C213" s="140" t="s">
        <v>1260</v>
      </c>
      <c r="D213" s="56">
        <v>42795</v>
      </c>
      <c r="E213" s="56">
        <v>43100</v>
      </c>
      <c r="F213" s="8">
        <v>6000</v>
      </c>
      <c r="G213" s="8">
        <v>7500</v>
      </c>
      <c r="H213" s="129" t="s">
        <v>1100</v>
      </c>
      <c r="I213" s="37">
        <v>4086.6</v>
      </c>
      <c r="J213" s="72"/>
    </row>
    <row r="214" spans="1:10" ht="24" x14ac:dyDescent="0.25">
      <c r="A214" s="115">
        <v>157</v>
      </c>
      <c r="B214" s="139" t="s">
        <v>717</v>
      </c>
      <c r="C214" s="140" t="s">
        <v>1261</v>
      </c>
      <c r="D214" s="56">
        <v>42793</v>
      </c>
      <c r="E214" s="56">
        <v>43100</v>
      </c>
      <c r="F214" s="8">
        <v>4800</v>
      </c>
      <c r="G214" s="8">
        <v>6000</v>
      </c>
      <c r="H214" s="129" t="s">
        <v>1100</v>
      </c>
      <c r="I214" s="37">
        <v>1978.29</v>
      </c>
      <c r="J214" s="72"/>
    </row>
    <row r="215" spans="1:10" ht="24" x14ac:dyDescent="0.25">
      <c r="A215" s="115">
        <v>158</v>
      </c>
      <c r="B215" s="139" t="s">
        <v>702</v>
      </c>
      <c r="C215" s="140" t="s">
        <v>1262</v>
      </c>
      <c r="D215" s="56">
        <v>42790</v>
      </c>
      <c r="E215" s="56">
        <v>43155</v>
      </c>
      <c r="F215" s="8">
        <v>28000</v>
      </c>
      <c r="G215" s="8">
        <v>35000</v>
      </c>
      <c r="H215" s="129" t="s">
        <v>1100</v>
      </c>
      <c r="I215" s="37">
        <v>20739.29</v>
      </c>
      <c r="J215" s="72"/>
    </row>
    <row r="216" spans="1:10" ht="36" x14ac:dyDescent="0.25">
      <c r="A216" s="115">
        <v>159</v>
      </c>
      <c r="B216" s="139" t="s">
        <v>960</v>
      </c>
      <c r="C216" s="140" t="s">
        <v>1263</v>
      </c>
      <c r="D216" s="56">
        <v>42776</v>
      </c>
      <c r="E216" s="56">
        <v>43100</v>
      </c>
      <c r="F216" s="8">
        <v>60000</v>
      </c>
      <c r="G216" s="8">
        <v>75000</v>
      </c>
      <c r="H216" s="129" t="s">
        <v>1100</v>
      </c>
      <c r="I216" s="37">
        <v>34759.08</v>
      </c>
      <c r="J216" s="72"/>
    </row>
    <row r="217" spans="1:10" ht="24" x14ac:dyDescent="0.25">
      <c r="A217" s="115">
        <v>160</v>
      </c>
      <c r="B217" s="139" t="s">
        <v>610</v>
      </c>
      <c r="C217" s="140" t="s">
        <v>1264</v>
      </c>
      <c r="D217" s="56">
        <v>42775</v>
      </c>
      <c r="E217" s="56">
        <v>43100</v>
      </c>
      <c r="F217" s="8">
        <v>29000</v>
      </c>
      <c r="G217" s="8">
        <v>36250</v>
      </c>
      <c r="H217" s="129" t="s">
        <v>1100</v>
      </c>
      <c r="I217" s="37">
        <v>13849.88</v>
      </c>
      <c r="J217" s="72"/>
    </row>
    <row r="218" spans="1:10" ht="24" x14ac:dyDescent="0.25">
      <c r="A218" s="115">
        <v>161</v>
      </c>
      <c r="B218" s="139" t="s">
        <v>584</v>
      </c>
      <c r="C218" s="140" t="s">
        <v>1265</v>
      </c>
      <c r="D218" s="56">
        <v>42769</v>
      </c>
      <c r="E218" s="56">
        <v>43134</v>
      </c>
      <c r="F218" s="8">
        <v>12000</v>
      </c>
      <c r="G218" s="8">
        <v>15000</v>
      </c>
      <c r="H218" s="129" t="s">
        <v>1100</v>
      </c>
      <c r="I218" s="37">
        <v>9346.61</v>
      </c>
      <c r="J218" s="72"/>
    </row>
    <row r="219" spans="1:10" ht="48" x14ac:dyDescent="0.25">
      <c r="A219" s="115">
        <v>162</v>
      </c>
      <c r="B219" s="139" t="s">
        <v>844</v>
      </c>
      <c r="C219" s="140" t="s">
        <v>1266</v>
      </c>
      <c r="D219" s="56">
        <v>42769</v>
      </c>
      <c r="E219" s="56">
        <v>43134</v>
      </c>
      <c r="F219" s="8">
        <v>15000</v>
      </c>
      <c r="G219" s="8">
        <v>18750</v>
      </c>
      <c r="H219" s="129" t="s">
        <v>1100</v>
      </c>
      <c r="I219" s="37">
        <v>9816.2099999999991</v>
      </c>
      <c r="J219" s="72"/>
    </row>
    <row r="220" spans="1:10" ht="24" x14ac:dyDescent="0.25">
      <c r="A220" s="115">
        <v>163</v>
      </c>
      <c r="B220" s="139" t="s">
        <v>725</v>
      </c>
      <c r="C220" s="140" t="s">
        <v>1267</v>
      </c>
      <c r="D220" s="56">
        <v>42767</v>
      </c>
      <c r="E220" s="56">
        <v>43132</v>
      </c>
      <c r="F220" s="8">
        <v>1920</v>
      </c>
      <c r="G220" s="8">
        <v>2400</v>
      </c>
      <c r="H220" s="129" t="s">
        <v>1100</v>
      </c>
      <c r="I220" s="37">
        <v>1363.32</v>
      </c>
      <c r="J220" s="72"/>
    </row>
    <row r="221" spans="1:10" x14ac:dyDescent="0.25">
      <c r="A221" s="115">
        <v>164</v>
      </c>
      <c r="B221" s="139" t="s">
        <v>491</v>
      </c>
      <c r="C221" s="140" t="s">
        <v>1268</v>
      </c>
      <c r="D221" s="56">
        <v>42767</v>
      </c>
      <c r="E221" s="56">
        <v>43100</v>
      </c>
      <c r="F221" s="8">
        <v>0</v>
      </c>
      <c r="G221" s="8">
        <v>0</v>
      </c>
      <c r="H221" s="129" t="s">
        <v>1100</v>
      </c>
      <c r="I221" s="37">
        <v>104564.78</v>
      </c>
      <c r="J221" s="72"/>
    </row>
    <row r="222" spans="1:10" ht="24" x14ac:dyDescent="0.25">
      <c r="A222" s="115">
        <v>165</v>
      </c>
      <c r="B222" s="139" t="s">
        <v>743</v>
      </c>
      <c r="C222" s="140" t="s">
        <v>1269</v>
      </c>
      <c r="D222" s="56">
        <v>42784</v>
      </c>
      <c r="E222" s="56">
        <v>43148</v>
      </c>
      <c r="F222" s="8">
        <v>3739.13</v>
      </c>
      <c r="G222" s="8">
        <v>4673.91</v>
      </c>
      <c r="H222" s="129" t="s">
        <v>1100</v>
      </c>
      <c r="I222" s="37">
        <v>3620.5</v>
      </c>
      <c r="J222" s="72"/>
    </row>
    <row r="223" spans="1:10" ht="24" x14ac:dyDescent="0.25">
      <c r="A223" s="115">
        <v>166</v>
      </c>
      <c r="B223" s="139" t="s">
        <v>540</v>
      </c>
      <c r="C223" s="140" t="s">
        <v>1270</v>
      </c>
      <c r="D223" s="56">
        <v>42767</v>
      </c>
      <c r="E223" s="56">
        <v>43100</v>
      </c>
      <c r="F223" s="8">
        <v>156654.78</v>
      </c>
      <c r="G223" s="8">
        <v>195818.48</v>
      </c>
      <c r="H223" s="129" t="s">
        <v>1100</v>
      </c>
      <c r="I223" s="37">
        <v>148818.70000000001</v>
      </c>
      <c r="J223" s="72"/>
    </row>
    <row r="224" spans="1:10" ht="24" x14ac:dyDescent="0.25">
      <c r="A224" s="115">
        <v>167</v>
      </c>
      <c r="B224" s="139" t="s">
        <v>656</v>
      </c>
      <c r="C224" s="140" t="s">
        <v>1271</v>
      </c>
      <c r="D224" s="56">
        <v>42767</v>
      </c>
      <c r="E224" s="56">
        <v>43100</v>
      </c>
      <c r="F224" s="8">
        <v>76555.199999999997</v>
      </c>
      <c r="G224" s="8">
        <v>95694</v>
      </c>
      <c r="H224" s="129" t="s">
        <v>1100</v>
      </c>
      <c r="I224" s="37">
        <v>10039.620000000001</v>
      </c>
      <c r="J224" s="72"/>
    </row>
    <row r="225" spans="1:10" ht="24" x14ac:dyDescent="0.25">
      <c r="A225" s="115">
        <v>168</v>
      </c>
      <c r="B225" s="139" t="s">
        <v>643</v>
      </c>
      <c r="C225" s="140" t="s">
        <v>1272</v>
      </c>
      <c r="D225" s="56">
        <v>42767</v>
      </c>
      <c r="E225" s="56">
        <v>43131</v>
      </c>
      <c r="F225" s="8">
        <v>10000</v>
      </c>
      <c r="G225" s="8">
        <v>12500</v>
      </c>
      <c r="H225" s="129" t="s">
        <v>1100</v>
      </c>
      <c r="I225" s="37">
        <v>120</v>
      </c>
      <c r="J225" s="72"/>
    </row>
    <row r="226" spans="1:10" ht="24" x14ac:dyDescent="0.25">
      <c r="A226" s="115">
        <v>169</v>
      </c>
      <c r="B226" s="139" t="s">
        <v>563</v>
      </c>
      <c r="C226" s="140" t="s">
        <v>1273</v>
      </c>
      <c r="D226" s="56">
        <v>42765</v>
      </c>
      <c r="E226" s="56">
        <v>43100</v>
      </c>
      <c r="F226" s="8">
        <v>0</v>
      </c>
      <c r="G226" s="8">
        <v>0</v>
      </c>
      <c r="H226" s="129" t="s">
        <v>1100</v>
      </c>
      <c r="I226" s="37">
        <v>89071.72</v>
      </c>
      <c r="J226" s="72"/>
    </row>
    <row r="227" spans="1:10" ht="24" x14ac:dyDescent="0.25">
      <c r="A227" s="115">
        <v>170</v>
      </c>
      <c r="B227" s="139" t="s">
        <v>961</v>
      </c>
      <c r="C227" s="140" t="s">
        <v>87</v>
      </c>
      <c r="D227" s="56">
        <v>42717</v>
      </c>
      <c r="E227" s="56">
        <v>43100</v>
      </c>
      <c r="F227" s="8">
        <v>14400</v>
      </c>
      <c r="G227" s="8">
        <v>18000</v>
      </c>
      <c r="H227" s="129" t="s">
        <v>1100</v>
      </c>
      <c r="I227" s="37">
        <v>7726.38</v>
      </c>
      <c r="J227" s="72"/>
    </row>
    <row r="228" spans="1:10" ht="24" x14ac:dyDescent="0.25">
      <c r="A228" s="115">
        <v>171</v>
      </c>
      <c r="B228" s="139" t="s">
        <v>813</v>
      </c>
      <c r="C228" s="140" t="s">
        <v>1274</v>
      </c>
      <c r="D228" s="56">
        <v>42760</v>
      </c>
      <c r="E228" s="56">
        <v>43099</v>
      </c>
      <c r="F228" s="8">
        <v>24000</v>
      </c>
      <c r="G228" s="8">
        <v>30000</v>
      </c>
      <c r="H228" s="129" t="s">
        <v>1103</v>
      </c>
      <c r="I228" s="37">
        <v>785</v>
      </c>
      <c r="J228" s="72"/>
    </row>
    <row r="229" spans="1:10" ht="24" x14ac:dyDescent="0.25">
      <c r="A229" s="115">
        <v>172</v>
      </c>
      <c r="B229" s="139" t="s">
        <v>779</v>
      </c>
      <c r="C229" s="140" t="s">
        <v>1275</v>
      </c>
      <c r="D229" s="56">
        <v>42758</v>
      </c>
      <c r="E229" s="56">
        <v>43100</v>
      </c>
      <c r="F229" s="8">
        <v>8000</v>
      </c>
      <c r="G229" s="8">
        <v>10000</v>
      </c>
      <c r="H229" s="129" t="s">
        <v>1100</v>
      </c>
      <c r="I229" s="55">
        <v>3341.46</v>
      </c>
      <c r="J229" s="1"/>
    </row>
    <row r="230" spans="1:10" ht="24" x14ac:dyDescent="0.25">
      <c r="A230" s="115">
        <v>173</v>
      </c>
      <c r="B230" s="139" t="s">
        <v>808</v>
      </c>
      <c r="C230" s="140" t="s">
        <v>1276</v>
      </c>
      <c r="D230" s="56">
        <v>42754</v>
      </c>
      <c r="E230" s="56">
        <v>43100</v>
      </c>
      <c r="F230" s="8">
        <v>7800</v>
      </c>
      <c r="G230" s="8">
        <v>9750</v>
      </c>
      <c r="H230" s="129" t="s">
        <v>1100</v>
      </c>
      <c r="I230" s="55">
        <v>7350</v>
      </c>
      <c r="J230" s="1"/>
    </row>
    <row r="231" spans="1:10" ht="24" x14ac:dyDescent="0.25">
      <c r="A231" s="115">
        <v>174</v>
      </c>
      <c r="B231" s="139" t="s">
        <v>684</v>
      </c>
      <c r="C231" s="140" t="s">
        <v>1277</v>
      </c>
      <c r="D231" s="56">
        <v>42752</v>
      </c>
      <c r="E231" s="56">
        <v>43116</v>
      </c>
      <c r="F231" s="8">
        <v>10000</v>
      </c>
      <c r="G231" s="8">
        <v>12500</v>
      </c>
      <c r="H231" s="129" t="s">
        <v>1100</v>
      </c>
      <c r="I231" s="55">
        <v>22645.64</v>
      </c>
      <c r="J231" s="1"/>
    </row>
    <row r="232" spans="1:10" ht="24" x14ac:dyDescent="0.25">
      <c r="A232" s="115">
        <v>175</v>
      </c>
      <c r="B232" s="139" t="s">
        <v>739</v>
      </c>
      <c r="C232" s="140" t="s">
        <v>1278</v>
      </c>
      <c r="D232" s="56">
        <v>42748</v>
      </c>
      <c r="E232" s="56">
        <v>43113</v>
      </c>
      <c r="F232" s="8">
        <v>20000</v>
      </c>
      <c r="G232" s="8">
        <v>25000</v>
      </c>
      <c r="H232" s="129" t="s">
        <v>1100</v>
      </c>
      <c r="I232" s="55">
        <v>10311.25</v>
      </c>
      <c r="J232" s="1"/>
    </row>
    <row r="233" spans="1:10" ht="24" x14ac:dyDescent="0.25">
      <c r="A233" s="115">
        <v>176</v>
      </c>
      <c r="B233" s="139" t="s">
        <v>533</v>
      </c>
      <c r="C233" s="140" t="s">
        <v>1279</v>
      </c>
      <c r="D233" s="56">
        <v>42742</v>
      </c>
      <c r="E233" s="56">
        <v>43100</v>
      </c>
      <c r="F233" s="8">
        <v>0</v>
      </c>
      <c r="G233" s="8">
        <v>0</v>
      </c>
      <c r="H233" s="129" t="s">
        <v>1100</v>
      </c>
      <c r="I233" s="55">
        <v>15907.98</v>
      </c>
      <c r="J233" s="1"/>
    </row>
    <row r="234" spans="1:10" ht="36" x14ac:dyDescent="0.25">
      <c r="A234" s="115">
        <v>177</v>
      </c>
      <c r="B234" s="139" t="s">
        <v>599</v>
      </c>
      <c r="C234" s="140" t="s">
        <v>1280</v>
      </c>
      <c r="D234" s="56">
        <v>42740</v>
      </c>
      <c r="E234" s="56">
        <v>43100</v>
      </c>
      <c r="F234" s="8">
        <v>0</v>
      </c>
      <c r="G234" s="8">
        <v>0</v>
      </c>
      <c r="H234" s="129" t="s">
        <v>1100</v>
      </c>
      <c r="I234" s="55">
        <v>44749.87</v>
      </c>
      <c r="J234" s="1"/>
    </row>
    <row r="235" spans="1:10" ht="36" x14ac:dyDescent="0.25">
      <c r="A235" s="115">
        <v>178</v>
      </c>
      <c r="B235" s="139" t="s">
        <v>727</v>
      </c>
      <c r="C235" s="140" t="s">
        <v>1281</v>
      </c>
      <c r="D235" s="56">
        <v>42787</v>
      </c>
      <c r="E235" s="56">
        <v>43100</v>
      </c>
      <c r="F235" s="8">
        <v>4500</v>
      </c>
      <c r="G235" s="8">
        <v>5625</v>
      </c>
      <c r="H235" s="129" t="s">
        <v>1100</v>
      </c>
      <c r="I235" s="55">
        <v>3869.85</v>
      </c>
      <c r="J235" s="1"/>
    </row>
    <row r="236" spans="1:10" ht="24" x14ac:dyDescent="0.25">
      <c r="A236" s="115">
        <v>179</v>
      </c>
      <c r="B236" s="139" t="s">
        <v>723</v>
      </c>
      <c r="C236" s="140" t="s">
        <v>1282</v>
      </c>
      <c r="D236" s="56">
        <v>42795</v>
      </c>
      <c r="E236" s="56">
        <v>43100</v>
      </c>
      <c r="F236" s="8">
        <v>25000</v>
      </c>
      <c r="G236" s="8">
        <v>31250</v>
      </c>
      <c r="H236" s="129" t="s">
        <v>1100</v>
      </c>
      <c r="I236" s="55">
        <v>19448.849999999999</v>
      </c>
      <c r="J236" s="1"/>
    </row>
    <row r="237" spans="1:10" ht="24" x14ac:dyDescent="0.25">
      <c r="A237" s="115">
        <v>180</v>
      </c>
      <c r="B237" s="139" t="s">
        <v>597</v>
      </c>
      <c r="C237" s="140" t="s">
        <v>1283</v>
      </c>
      <c r="D237" s="56">
        <v>42758</v>
      </c>
      <c r="E237" s="56">
        <v>43100</v>
      </c>
      <c r="F237" s="8">
        <v>0</v>
      </c>
      <c r="G237" s="8">
        <v>0</v>
      </c>
      <c r="H237" s="129" t="s">
        <v>1100</v>
      </c>
      <c r="I237" s="55">
        <v>118390.88</v>
      </c>
      <c r="J237" s="1"/>
    </row>
    <row r="238" spans="1:10" ht="24" x14ac:dyDescent="0.25">
      <c r="A238" s="115">
        <v>181</v>
      </c>
      <c r="B238" s="139" t="s">
        <v>541</v>
      </c>
      <c r="C238" s="140" t="s">
        <v>1284</v>
      </c>
      <c r="D238" s="56">
        <v>42800</v>
      </c>
      <c r="E238" s="56">
        <v>43100</v>
      </c>
      <c r="F238" s="8">
        <v>15000</v>
      </c>
      <c r="G238" s="8">
        <v>18750</v>
      </c>
      <c r="H238" s="129" t="s">
        <v>1100</v>
      </c>
      <c r="I238" s="55">
        <v>9350.15</v>
      </c>
      <c r="J238" s="1"/>
    </row>
    <row r="239" spans="1:10" ht="24" x14ac:dyDescent="0.25">
      <c r="A239" s="115">
        <v>182</v>
      </c>
      <c r="B239" s="139" t="s">
        <v>582</v>
      </c>
      <c r="C239" s="140" t="s">
        <v>1285</v>
      </c>
      <c r="D239" s="56">
        <v>42737</v>
      </c>
      <c r="E239" s="56">
        <v>43465</v>
      </c>
      <c r="F239" s="8">
        <v>192000</v>
      </c>
      <c r="G239" s="8">
        <v>240000</v>
      </c>
      <c r="H239" s="129" t="s">
        <v>1100</v>
      </c>
      <c r="I239" s="55">
        <v>184950.05</v>
      </c>
      <c r="J239" s="1"/>
    </row>
    <row r="240" spans="1:10" ht="24" x14ac:dyDescent="0.25">
      <c r="A240" s="115">
        <v>183</v>
      </c>
      <c r="B240" s="139" t="s">
        <v>653</v>
      </c>
      <c r="C240" s="140" t="s">
        <v>1286</v>
      </c>
      <c r="D240" s="56">
        <v>42736</v>
      </c>
      <c r="E240" s="56">
        <v>43100</v>
      </c>
      <c r="F240" s="8">
        <v>4000</v>
      </c>
      <c r="G240" s="8">
        <v>5000</v>
      </c>
      <c r="H240" s="129" t="s">
        <v>1100</v>
      </c>
      <c r="I240" s="55">
        <v>2909.63</v>
      </c>
      <c r="J240" s="1"/>
    </row>
    <row r="241" spans="1:10" ht="24" x14ac:dyDescent="0.25">
      <c r="A241" s="115">
        <v>184</v>
      </c>
      <c r="B241" s="139" t="s">
        <v>881</v>
      </c>
      <c r="C241" s="140" t="s">
        <v>1287</v>
      </c>
      <c r="D241" s="56">
        <v>42705</v>
      </c>
      <c r="E241" s="56">
        <v>43101</v>
      </c>
      <c r="F241" s="8">
        <v>4000</v>
      </c>
      <c r="G241" s="8">
        <v>5000</v>
      </c>
      <c r="H241" s="129" t="s">
        <v>1100</v>
      </c>
      <c r="I241" s="55">
        <v>4293.75</v>
      </c>
      <c r="J241" s="1"/>
    </row>
    <row r="242" spans="1:10" ht="24" x14ac:dyDescent="0.25">
      <c r="A242" s="115">
        <v>185</v>
      </c>
      <c r="B242" s="139" t="s">
        <v>962</v>
      </c>
      <c r="C242" s="140" t="s">
        <v>1288</v>
      </c>
      <c r="D242" s="56">
        <v>42736</v>
      </c>
      <c r="E242" s="56">
        <v>43100</v>
      </c>
      <c r="F242" s="8">
        <v>3500</v>
      </c>
      <c r="G242" s="8">
        <v>4375</v>
      </c>
      <c r="H242" s="129" t="s">
        <v>1100</v>
      </c>
      <c r="I242" s="55">
        <v>2828.41</v>
      </c>
      <c r="J242" s="1"/>
    </row>
    <row r="243" spans="1:10" ht="24" x14ac:dyDescent="0.25">
      <c r="A243" s="115">
        <v>186</v>
      </c>
      <c r="B243" s="139" t="s">
        <v>863</v>
      </c>
      <c r="C243" s="140" t="s">
        <v>1289</v>
      </c>
      <c r="D243" s="56">
        <v>42736</v>
      </c>
      <c r="E243" s="56">
        <v>43100</v>
      </c>
      <c r="F243" s="8">
        <v>5760</v>
      </c>
      <c r="G243" s="8">
        <v>7200</v>
      </c>
      <c r="H243" s="129" t="s">
        <v>1100</v>
      </c>
      <c r="I243" s="55">
        <v>17655.05</v>
      </c>
      <c r="J243" s="1"/>
    </row>
    <row r="244" spans="1:10" ht="24" x14ac:dyDescent="0.25">
      <c r="A244" s="115">
        <v>187</v>
      </c>
      <c r="B244" s="139" t="s">
        <v>548</v>
      </c>
      <c r="C244" s="140" t="s">
        <v>1290</v>
      </c>
      <c r="D244" s="56">
        <v>42736</v>
      </c>
      <c r="E244" s="56">
        <v>43100</v>
      </c>
      <c r="F244" s="8">
        <v>0</v>
      </c>
      <c r="G244" s="8">
        <v>0</v>
      </c>
      <c r="H244" s="129" t="s">
        <v>1100</v>
      </c>
      <c r="I244" s="55">
        <v>69678.75</v>
      </c>
      <c r="J244" s="1"/>
    </row>
    <row r="245" spans="1:10" ht="24" x14ac:dyDescent="0.25">
      <c r="A245" s="115">
        <v>188</v>
      </c>
      <c r="B245" s="139" t="s">
        <v>893</v>
      </c>
      <c r="C245" s="140" t="s">
        <v>1291</v>
      </c>
      <c r="D245" s="56">
        <v>42736</v>
      </c>
      <c r="E245" s="56">
        <v>43100</v>
      </c>
      <c r="F245" s="8">
        <v>76952</v>
      </c>
      <c r="G245" s="8">
        <v>96190</v>
      </c>
      <c r="H245" s="129" t="s">
        <v>1100</v>
      </c>
      <c r="I245" s="55">
        <v>52964.54</v>
      </c>
      <c r="J245" s="1"/>
    </row>
    <row r="246" spans="1:10" ht="24" x14ac:dyDescent="0.25">
      <c r="A246" s="115">
        <v>189</v>
      </c>
      <c r="B246" s="139" t="s">
        <v>963</v>
      </c>
      <c r="C246" s="140" t="s">
        <v>1292</v>
      </c>
      <c r="D246" s="56">
        <v>42737</v>
      </c>
      <c r="E246" s="56">
        <v>43100</v>
      </c>
      <c r="F246" s="8">
        <v>1500</v>
      </c>
      <c r="G246" s="8">
        <v>1875</v>
      </c>
      <c r="H246" s="129" t="s">
        <v>1100</v>
      </c>
      <c r="I246" s="55">
        <v>1597.44</v>
      </c>
      <c r="J246" s="1"/>
    </row>
    <row r="247" spans="1:10" ht="24" x14ac:dyDescent="0.25">
      <c r="A247" s="115">
        <v>190</v>
      </c>
      <c r="B247" s="139" t="s">
        <v>846</v>
      </c>
      <c r="C247" s="140" t="s">
        <v>1293</v>
      </c>
      <c r="D247" s="56">
        <v>42736</v>
      </c>
      <c r="E247" s="56">
        <v>43100</v>
      </c>
      <c r="F247" s="8">
        <v>20800</v>
      </c>
      <c r="G247" s="8">
        <v>26000</v>
      </c>
      <c r="H247" s="129" t="s">
        <v>1100</v>
      </c>
      <c r="I247" s="55">
        <v>32319.38</v>
      </c>
      <c r="J247" s="1"/>
    </row>
    <row r="248" spans="1:10" ht="24" x14ac:dyDescent="0.25">
      <c r="A248" s="115">
        <v>191</v>
      </c>
      <c r="B248" s="139" t="s">
        <v>567</v>
      </c>
      <c r="C248" s="140" t="s">
        <v>1294</v>
      </c>
      <c r="D248" s="56">
        <v>43031</v>
      </c>
      <c r="E248" s="56">
        <v>43100</v>
      </c>
      <c r="F248" s="8">
        <v>0</v>
      </c>
      <c r="G248" s="8">
        <v>0</v>
      </c>
      <c r="H248" s="129" t="s">
        <v>1100</v>
      </c>
      <c r="I248" s="55">
        <v>4070.68</v>
      </c>
      <c r="J248" s="1"/>
    </row>
    <row r="249" spans="1:10" ht="24" x14ac:dyDescent="0.25">
      <c r="A249" s="115">
        <v>192</v>
      </c>
      <c r="B249" s="139" t="s">
        <v>531</v>
      </c>
      <c r="C249" s="140" t="s">
        <v>1295</v>
      </c>
      <c r="D249" s="56">
        <v>42753</v>
      </c>
      <c r="E249" s="56">
        <v>43100</v>
      </c>
      <c r="F249" s="8">
        <v>70080.5</v>
      </c>
      <c r="G249" s="8">
        <v>85858.13</v>
      </c>
      <c r="H249" s="129" t="s">
        <v>1100</v>
      </c>
      <c r="I249" s="55">
        <v>28190.9</v>
      </c>
      <c r="J249" s="1"/>
    </row>
    <row r="250" spans="1:10" ht="24" x14ac:dyDescent="0.25">
      <c r="A250" s="115">
        <v>193</v>
      </c>
      <c r="B250" s="139" t="s">
        <v>885</v>
      </c>
      <c r="C250" s="140" t="s">
        <v>1296</v>
      </c>
      <c r="D250" s="56">
        <v>42803</v>
      </c>
      <c r="E250" s="56">
        <v>43100</v>
      </c>
      <c r="F250" s="8">
        <v>0</v>
      </c>
      <c r="G250" s="8">
        <v>0</v>
      </c>
      <c r="H250" s="129" t="s">
        <v>1100</v>
      </c>
      <c r="I250" s="55">
        <v>97754.42</v>
      </c>
      <c r="J250" s="1"/>
    </row>
    <row r="251" spans="1:10" ht="24" x14ac:dyDescent="0.25">
      <c r="A251" s="115">
        <v>194</v>
      </c>
      <c r="B251" s="139" t="s">
        <v>623</v>
      </c>
      <c r="C251" s="140" t="s">
        <v>1297</v>
      </c>
      <c r="D251" s="56">
        <v>42755</v>
      </c>
      <c r="E251" s="56">
        <v>43100</v>
      </c>
      <c r="F251" s="8">
        <v>130000</v>
      </c>
      <c r="G251" s="8">
        <v>162500</v>
      </c>
      <c r="H251" s="129" t="s">
        <v>1102</v>
      </c>
      <c r="I251" s="55">
        <v>94866.68</v>
      </c>
      <c r="J251" s="1"/>
    </row>
    <row r="252" spans="1:10" ht="24" x14ac:dyDescent="0.25">
      <c r="A252" s="115">
        <v>195</v>
      </c>
      <c r="B252" s="139" t="s">
        <v>589</v>
      </c>
      <c r="C252" s="140" t="s">
        <v>1298</v>
      </c>
      <c r="D252" s="56">
        <v>42810</v>
      </c>
      <c r="E252" s="56">
        <v>43100</v>
      </c>
      <c r="F252" s="8">
        <v>48000</v>
      </c>
      <c r="G252" s="8">
        <v>60000</v>
      </c>
      <c r="H252" s="129" t="s">
        <v>1100</v>
      </c>
      <c r="I252" s="55">
        <v>47977.39</v>
      </c>
      <c r="J252" s="1"/>
    </row>
    <row r="253" spans="1:10" ht="36" x14ac:dyDescent="0.25">
      <c r="A253" s="115">
        <v>196</v>
      </c>
      <c r="B253" s="139" t="s">
        <v>711</v>
      </c>
      <c r="C253" s="140" t="s">
        <v>1299</v>
      </c>
      <c r="D253" s="56">
        <v>42809</v>
      </c>
      <c r="E253" s="56">
        <v>43100</v>
      </c>
      <c r="F253" s="8">
        <v>6000</v>
      </c>
      <c r="G253" s="8">
        <v>7500</v>
      </c>
      <c r="H253" s="129" t="s">
        <v>1100</v>
      </c>
      <c r="I253" s="55">
        <v>4814.1000000000004</v>
      </c>
      <c r="J253" s="1"/>
    </row>
    <row r="254" spans="1:10" ht="24" x14ac:dyDescent="0.25">
      <c r="A254" s="115">
        <v>197</v>
      </c>
      <c r="B254" s="139" t="s">
        <v>675</v>
      </c>
      <c r="C254" s="140" t="s">
        <v>1300</v>
      </c>
      <c r="D254" s="56">
        <v>42748</v>
      </c>
      <c r="E254" s="56">
        <v>43100</v>
      </c>
      <c r="F254" s="8">
        <v>0</v>
      </c>
      <c r="G254" s="8">
        <v>0</v>
      </c>
      <c r="H254" s="129" t="s">
        <v>1100</v>
      </c>
      <c r="I254" s="55">
        <v>32182.45</v>
      </c>
      <c r="J254" s="1"/>
    </row>
    <row r="255" spans="1:10" ht="24" x14ac:dyDescent="0.25">
      <c r="A255" s="115">
        <v>198</v>
      </c>
      <c r="B255" s="139" t="s">
        <v>474</v>
      </c>
      <c r="C255" s="140" t="s">
        <v>1301</v>
      </c>
      <c r="D255" s="56">
        <v>42783</v>
      </c>
      <c r="E255" s="56">
        <v>43100</v>
      </c>
      <c r="F255" s="8">
        <v>15000</v>
      </c>
      <c r="G255" s="8">
        <v>18750</v>
      </c>
      <c r="H255" s="129" t="s">
        <v>1100</v>
      </c>
      <c r="I255" s="55">
        <v>9289.51</v>
      </c>
      <c r="J255" s="1"/>
    </row>
    <row r="256" spans="1:10" ht="24" x14ac:dyDescent="0.25">
      <c r="A256" s="115">
        <v>199</v>
      </c>
      <c r="B256" s="139" t="s">
        <v>728</v>
      </c>
      <c r="C256" s="140" t="s">
        <v>1302</v>
      </c>
      <c r="D256" s="56">
        <v>42726</v>
      </c>
      <c r="E256" s="56">
        <v>43100</v>
      </c>
      <c r="F256" s="8">
        <v>7653.48</v>
      </c>
      <c r="G256" s="8">
        <v>9566.85</v>
      </c>
      <c r="H256" s="129" t="s">
        <v>1100</v>
      </c>
      <c r="I256" s="55">
        <v>5205.93</v>
      </c>
      <c r="J256" s="1"/>
    </row>
    <row r="257" spans="1:10" ht="24" x14ac:dyDescent="0.25">
      <c r="A257" s="115">
        <v>200</v>
      </c>
      <c r="B257" s="139" t="s">
        <v>750</v>
      </c>
      <c r="C257" s="140" t="s">
        <v>1303</v>
      </c>
      <c r="D257" s="56">
        <v>42726</v>
      </c>
      <c r="E257" s="56">
        <v>43100</v>
      </c>
      <c r="F257" s="8">
        <v>260000</v>
      </c>
      <c r="G257" s="8">
        <v>325000</v>
      </c>
      <c r="H257" s="129" t="s">
        <v>1100</v>
      </c>
      <c r="I257" s="55">
        <v>171768.3</v>
      </c>
      <c r="J257" s="1"/>
    </row>
    <row r="258" spans="1:10" ht="24" x14ac:dyDescent="0.25">
      <c r="A258" s="115">
        <v>201</v>
      </c>
      <c r="B258" s="139" t="s">
        <v>568</v>
      </c>
      <c r="C258" s="140" t="s">
        <v>1304</v>
      </c>
      <c r="D258" s="56">
        <v>42735</v>
      </c>
      <c r="E258" s="56">
        <v>43100</v>
      </c>
      <c r="F258" s="8">
        <v>20945502.719999999</v>
      </c>
      <c r="G258" s="8">
        <v>26181878.399999999</v>
      </c>
      <c r="H258" s="129" t="s">
        <v>1100</v>
      </c>
      <c r="I258" s="55">
        <v>28758.34</v>
      </c>
      <c r="J258" s="1"/>
    </row>
    <row r="259" spans="1:10" ht="24" x14ac:dyDescent="0.25">
      <c r="A259" s="115">
        <v>202</v>
      </c>
      <c r="B259" s="139" t="s">
        <v>494</v>
      </c>
      <c r="C259" s="140" t="s">
        <v>1305</v>
      </c>
      <c r="D259" s="56">
        <v>42716</v>
      </c>
      <c r="E259" s="56">
        <v>43100</v>
      </c>
      <c r="F259" s="8">
        <v>0</v>
      </c>
      <c r="G259" s="8">
        <v>0</v>
      </c>
      <c r="H259" s="129" t="s">
        <v>1100</v>
      </c>
      <c r="I259" s="55">
        <v>12357.84</v>
      </c>
      <c r="J259" s="1"/>
    </row>
    <row r="260" spans="1:10" ht="24" x14ac:dyDescent="0.25">
      <c r="A260" s="115">
        <v>203</v>
      </c>
      <c r="B260" s="139" t="s">
        <v>824</v>
      </c>
      <c r="C260" s="140" t="s">
        <v>1306</v>
      </c>
      <c r="D260" s="56">
        <v>42761</v>
      </c>
      <c r="E260" s="56">
        <v>43100</v>
      </c>
      <c r="F260" s="8">
        <v>5760</v>
      </c>
      <c r="G260" s="8">
        <v>7200</v>
      </c>
      <c r="H260" s="129" t="s">
        <v>1100</v>
      </c>
      <c r="I260" s="55">
        <v>14576.14</v>
      </c>
      <c r="J260" s="1"/>
    </row>
    <row r="261" spans="1:10" ht="24" x14ac:dyDescent="0.25">
      <c r="A261" s="115">
        <v>204</v>
      </c>
      <c r="B261" s="139" t="s">
        <v>853</v>
      </c>
      <c r="C261" s="140" t="s">
        <v>1307</v>
      </c>
      <c r="D261" s="56">
        <v>42643</v>
      </c>
      <c r="E261" s="56">
        <v>43096</v>
      </c>
      <c r="F261" s="8">
        <v>5280</v>
      </c>
      <c r="G261" s="8">
        <v>5280</v>
      </c>
      <c r="H261" s="129" t="s">
        <v>1100</v>
      </c>
      <c r="I261" s="55">
        <v>4033.89</v>
      </c>
      <c r="J261" s="1"/>
    </row>
    <row r="262" spans="1:10" ht="24" x14ac:dyDescent="0.25">
      <c r="A262" s="115">
        <v>205</v>
      </c>
      <c r="B262" s="139" t="s">
        <v>880</v>
      </c>
      <c r="C262" s="140" t="s">
        <v>1308</v>
      </c>
      <c r="D262" s="56">
        <v>42717</v>
      </c>
      <c r="E262" s="56">
        <v>43447</v>
      </c>
      <c r="F262" s="8">
        <v>13000</v>
      </c>
      <c r="G262" s="8">
        <v>16250</v>
      </c>
      <c r="H262" s="129" t="s">
        <v>1100</v>
      </c>
      <c r="I262" s="55">
        <v>16500.88</v>
      </c>
      <c r="J262" s="1"/>
    </row>
    <row r="263" spans="1:10" ht="36" x14ac:dyDescent="0.25">
      <c r="A263" s="115">
        <v>206</v>
      </c>
      <c r="B263" s="139" t="s">
        <v>566</v>
      </c>
      <c r="C263" s="140" t="s">
        <v>1309</v>
      </c>
      <c r="D263" s="56">
        <v>42711</v>
      </c>
      <c r="E263" s="56">
        <v>43076</v>
      </c>
      <c r="F263" s="8">
        <v>25000</v>
      </c>
      <c r="G263" s="8">
        <v>31250</v>
      </c>
      <c r="H263" s="129" t="s">
        <v>1100</v>
      </c>
      <c r="I263" s="55">
        <v>18166.080000000002</v>
      </c>
      <c r="J263" s="1"/>
    </row>
    <row r="264" spans="1:10" ht="24" x14ac:dyDescent="0.25">
      <c r="A264" s="115">
        <v>207</v>
      </c>
      <c r="B264" s="139" t="s">
        <v>534</v>
      </c>
      <c r="C264" s="140" t="s">
        <v>1310</v>
      </c>
      <c r="D264" s="56">
        <v>42709</v>
      </c>
      <c r="E264" s="56">
        <v>43100</v>
      </c>
      <c r="F264" s="8">
        <v>107250</v>
      </c>
      <c r="G264" s="8">
        <v>134062.5</v>
      </c>
      <c r="H264" s="129" t="s">
        <v>1100</v>
      </c>
      <c r="I264" s="55">
        <v>33366.730000000003</v>
      </c>
      <c r="J264" s="1"/>
    </row>
    <row r="265" spans="1:10" ht="24" x14ac:dyDescent="0.25">
      <c r="A265" s="115">
        <v>208</v>
      </c>
      <c r="B265" s="139" t="s">
        <v>774</v>
      </c>
      <c r="C265" s="140" t="s">
        <v>1311</v>
      </c>
      <c r="D265" s="56">
        <v>42681</v>
      </c>
      <c r="E265" s="56">
        <v>43070</v>
      </c>
      <c r="F265" s="8">
        <v>0</v>
      </c>
      <c r="G265" s="8">
        <v>0</v>
      </c>
      <c r="H265" s="129" t="s">
        <v>1100</v>
      </c>
      <c r="I265" s="55">
        <v>1550.53</v>
      </c>
      <c r="J265" s="1"/>
    </row>
    <row r="266" spans="1:10" ht="24" x14ac:dyDescent="0.25">
      <c r="A266" s="115">
        <v>209</v>
      </c>
      <c r="B266" s="139" t="s">
        <v>814</v>
      </c>
      <c r="C266" s="140" t="s">
        <v>1312</v>
      </c>
      <c r="D266" s="56">
        <v>42691</v>
      </c>
      <c r="E266" s="56">
        <v>43100</v>
      </c>
      <c r="F266" s="8">
        <v>5760</v>
      </c>
      <c r="G266" s="8">
        <v>7200</v>
      </c>
      <c r="H266" s="129" t="s">
        <v>1100</v>
      </c>
      <c r="I266" s="55">
        <v>919.39</v>
      </c>
      <c r="J266" s="1"/>
    </row>
    <row r="267" spans="1:10" ht="24" x14ac:dyDescent="0.25">
      <c r="A267" s="115">
        <v>210</v>
      </c>
      <c r="B267" s="139" t="s">
        <v>770</v>
      </c>
      <c r="C267" s="140" t="s">
        <v>1313</v>
      </c>
      <c r="D267" s="56">
        <v>42849</v>
      </c>
      <c r="E267" s="56">
        <v>43100</v>
      </c>
      <c r="F267" s="8">
        <v>115000</v>
      </c>
      <c r="G267" s="8">
        <v>143750</v>
      </c>
      <c r="H267" s="129" t="s">
        <v>1102</v>
      </c>
      <c r="I267" s="55">
        <v>39368.339999999997</v>
      </c>
      <c r="J267" s="1"/>
    </row>
    <row r="268" spans="1:10" ht="24" x14ac:dyDescent="0.25">
      <c r="A268" s="115">
        <v>211</v>
      </c>
      <c r="B268" s="139" t="s">
        <v>786</v>
      </c>
      <c r="C268" s="140" t="s">
        <v>1314</v>
      </c>
      <c r="D268" s="56">
        <v>42705</v>
      </c>
      <c r="E268" s="56">
        <v>43070</v>
      </c>
      <c r="F268" s="8">
        <v>5760</v>
      </c>
      <c r="G268" s="8">
        <v>7200</v>
      </c>
      <c r="H268" s="129" t="s">
        <v>1475</v>
      </c>
      <c r="I268" s="55">
        <v>28175.65</v>
      </c>
      <c r="J268" s="1"/>
    </row>
    <row r="269" spans="1:10" ht="24" x14ac:dyDescent="0.25">
      <c r="A269" s="115">
        <v>212</v>
      </c>
      <c r="B269" s="139" t="s">
        <v>918</v>
      </c>
      <c r="C269" s="140" t="s">
        <v>1315</v>
      </c>
      <c r="D269" s="56">
        <v>42850</v>
      </c>
      <c r="E269" s="56">
        <v>43069</v>
      </c>
      <c r="F269" s="8">
        <v>135000</v>
      </c>
      <c r="G269" s="8">
        <v>168750</v>
      </c>
      <c r="H269" s="129" t="s">
        <v>1100</v>
      </c>
      <c r="I269" s="55">
        <v>157861.12</v>
      </c>
      <c r="J269" s="1"/>
    </row>
    <row r="270" spans="1:10" ht="24" x14ac:dyDescent="0.25">
      <c r="A270" s="115">
        <v>213</v>
      </c>
      <c r="B270" s="139" t="s">
        <v>487</v>
      </c>
      <c r="C270" s="140" t="s">
        <v>1316</v>
      </c>
      <c r="D270" s="56">
        <v>42713</v>
      </c>
      <c r="E270" s="56">
        <v>43078</v>
      </c>
      <c r="F270" s="8">
        <v>60000</v>
      </c>
      <c r="G270" s="8">
        <v>75000</v>
      </c>
      <c r="H270" s="129" t="s">
        <v>1476</v>
      </c>
      <c r="I270" s="55">
        <v>17512.560000000001</v>
      </c>
      <c r="J270" s="1"/>
    </row>
    <row r="271" spans="1:10" ht="36" x14ac:dyDescent="0.25">
      <c r="A271" s="115">
        <v>214</v>
      </c>
      <c r="B271" s="139" t="s">
        <v>704</v>
      </c>
      <c r="C271" s="140" t="s">
        <v>1317</v>
      </c>
      <c r="D271" s="56">
        <v>42696</v>
      </c>
      <c r="E271" s="56">
        <v>43100</v>
      </c>
      <c r="F271" s="8">
        <v>0</v>
      </c>
      <c r="G271" s="8">
        <v>0</v>
      </c>
      <c r="H271" s="129" t="s">
        <v>1100</v>
      </c>
      <c r="I271" s="55">
        <v>38324.82</v>
      </c>
      <c r="J271" s="1"/>
    </row>
    <row r="272" spans="1:10" ht="24" x14ac:dyDescent="0.25">
      <c r="A272" s="115">
        <v>215</v>
      </c>
      <c r="B272" s="139" t="s">
        <v>578</v>
      </c>
      <c r="C272" s="140" t="s">
        <v>1318</v>
      </c>
      <c r="D272" s="56">
        <v>42754</v>
      </c>
      <c r="E272" s="56">
        <v>43055</v>
      </c>
      <c r="F272" s="8">
        <v>5760</v>
      </c>
      <c r="G272" s="8">
        <v>7200</v>
      </c>
      <c r="H272" s="129" t="s">
        <v>1100</v>
      </c>
      <c r="I272" s="55">
        <v>235.59</v>
      </c>
      <c r="J272" s="1"/>
    </row>
    <row r="273" spans="1:10" ht="24" x14ac:dyDescent="0.25">
      <c r="A273" s="115">
        <v>216</v>
      </c>
      <c r="B273" s="139" t="s">
        <v>557</v>
      </c>
      <c r="C273" s="140" t="s">
        <v>1319</v>
      </c>
      <c r="D273" s="56">
        <v>42689</v>
      </c>
      <c r="E273" s="56">
        <v>43054</v>
      </c>
      <c r="F273" s="8">
        <v>5760</v>
      </c>
      <c r="G273" s="8">
        <v>7200</v>
      </c>
      <c r="H273" s="129" t="s">
        <v>1100</v>
      </c>
      <c r="I273" s="55">
        <v>3285.69</v>
      </c>
      <c r="J273" s="1"/>
    </row>
    <row r="274" spans="1:10" ht="36" x14ac:dyDescent="0.25">
      <c r="A274" s="115">
        <v>217</v>
      </c>
      <c r="B274" s="139" t="s">
        <v>769</v>
      </c>
      <c r="C274" s="140" t="s">
        <v>1320</v>
      </c>
      <c r="D274" s="56">
        <v>42678</v>
      </c>
      <c r="E274" s="56">
        <v>43042</v>
      </c>
      <c r="F274" s="8">
        <v>33442</v>
      </c>
      <c r="G274" s="8">
        <v>41802.5</v>
      </c>
      <c r="H274" s="129" t="s">
        <v>1477</v>
      </c>
      <c r="I274" s="55">
        <v>18253.259999999998</v>
      </c>
      <c r="J274" s="1"/>
    </row>
    <row r="275" spans="1:10" ht="36" x14ac:dyDescent="0.25">
      <c r="A275" s="115">
        <v>218</v>
      </c>
      <c r="B275" s="139" t="s">
        <v>807</v>
      </c>
      <c r="C275" s="140" t="s">
        <v>1321</v>
      </c>
      <c r="D275" s="56">
        <v>42677</v>
      </c>
      <c r="E275" s="56">
        <v>43041</v>
      </c>
      <c r="F275" s="8">
        <v>0</v>
      </c>
      <c r="G275" s="8">
        <v>0</v>
      </c>
      <c r="H275" s="129" t="s">
        <v>1102</v>
      </c>
      <c r="I275" s="55">
        <v>14270.29</v>
      </c>
      <c r="J275" s="1"/>
    </row>
    <row r="276" spans="1:10" ht="24" x14ac:dyDescent="0.25">
      <c r="A276" s="115">
        <v>219</v>
      </c>
      <c r="B276" s="139" t="s">
        <v>787</v>
      </c>
      <c r="C276" s="140" t="s">
        <v>1322</v>
      </c>
      <c r="D276" s="56">
        <v>42438</v>
      </c>
      <c r="E276" s="56">
        <v>43100</v>
      </c>
      <c r="F276" s="8">
        <v>7000</v>
      </c>
      <c r="G276" s="8">
        <v>8750</v>
      </c>
      <c r="H276" s="129" t="s">
        <v>1100</v>
      </c>
      <c r="I276" s="55">
        <v>4532.22</v>
      </c>
      <c r="J276" s="1"/>
    </row>
    <row r="277" spans="1:10" ht="24" x14ac:dyDescent="0.25">
      <c r="A277" s="115">
        <v>220</v>
      </c>
      <c r="B277" s="139" t="s">
        <v>811</v>
      </c>
      <c r="C277" s="140" t="s">
        <v>1323</v>
      </c>
      <c r="D277" s="56">
        <v>42674</v>
      </c>
      <c r="E277" s="56">
        <v>43039</v>
      </c>
      <c r="F277" s="8">
        <v>104000</v>
      </c>
      <c r="G277" s="8">
        <v>130000</v>
      </c>
      <c r="H277" s="129" t="s">
        <v>1474</v>
      </c>
      <c r="I277" s="55">
        <v>30291.19</v>
      </c>
      <c r="J277" s="1"/>
    </row>
    <row r="278" spans="1:10" ht="24" x14ac:dyDescent="0.25">
      <c r="A278" s="115">
        <v>221</v>
      </c>
      <c r="B278" s="139" t="s">
        <v>894</v>
      </c>
      <c r="C278" s="140" t="s">
        <v>1324</v>
      </c>
      <c r="D278" s="56">
        <v>42681</v>
      </c>
      <c r="E278" s="56">
        <v>43045</v>
      </c>
      <c r="F278" s="8">
        <v>6000</v>
      </c>
      <c r="G278" s="8">
        <v>7500</v>
      </c>
      <c r="H278" s="129" t="s">
        <v>1100</v>
      </c>
      <c r="I278" s="55">
        <v>4783.75</v>
      </c>
      <c r="J278" s="1"/>
    </row>
    <row r="279" spans="1:10" ht="48" x14ac:dyDescent="0.25">
      <c r="A279" s="115">
        <v>222</v>
      </c>
      <c r="B279" s="139" t="s">
        <v>796</v>
      </c>
      <c r="C279" s="140" t="s">
        <v>1325</v>
      </c>
      <c r="D279" s="56">
        <v>42671</v>
      </c>
      <c r="E279" s="56">
        <v>43036</v>
      </c>
      <c r="F279" s="8">
        <v>69900</v>
      </c>
      <c r="G279" s="8">
        <v>87375</v>
      </c>
      <c r="H279" s="129" t="s">
        <v>1100</v>
      </c>
      <c r="I279" s="55">
        <v>34765.08</v>
      </c>
      <c r="J279" s="1"/>
    </row>
    <row r="280" spans="1:10" ht="24" x14ac:dyDescent="0.25">
      <c r="A280" s="115">
        <v>223</v>
      </c>
      <c r="B280" s="139" t="s">
        <v>691</v>
      </c>
      <c r="C280" s="140" t="s">
        <v>1326</v>
      </c>
      <c r="D280" s="56">
        <v>42670</v>
      </c>
      <c r="E280" s="56">
        <v>43035</v>
      </c>
      <c r="F280" s="8">
        <v>0</v>
      </c>
      <c r="G280" s="8">
        <v>0</v>
      </c>
      <c r="H280" s="129" t="s">
        <v>1100</v>
      </c>
      <c r="I280" s="55">
        <v>19088.05</v>
      </c>
      <c r="J280" s="1"/>
    </row>
    <row r="281" spans="1:10" ht="24" x14ac:dyDescent="0.25">
      <c r="A281" s="115">
        <v>224</v>
      </c>
      <c r="B281" s="139" t="s">
        <v>648</v>
      </c>
      <c r="C281" s="140" t="s">
        <v>1327</v>
      </c>
      <c r="D281" s="56">
        <v>42664</v>
      </c>
      <c r="E281" s="56">
        <v>43100</v>
      </c>
      <c r="F281" s="8">
        <v>88300</v>
      </c>
      <c r="G281" s="8">
        <v>110375</v>
      </c>
      <c r="H281" s="129" t="s">
        <v>1100</v>
      </c>
      <c r="I281" s="55">
        <v>65682.5</v>
      </c>
      <c r="J281" s="1"/>
    </row>
    <row r="282" spans="1:10" ht="24" x14ac:dyDescent="0.25">
      <c r="A282" s="115">
        <v>225</v>
      </c>
      <c r="B282" s="139" t="s">
        <v>516</v>
      </c>
      <c r="C282" s="140" t="s">
        <v>1328</v>
      </c>
      <c r="D282" s="56">
        <v>42664</v>
      </c>
      <c r="E282" s="56">
        <v>43029</v>
      </c>
      <c r="F282" s="8">
        <v>960</v>
      </c>
      <c r="G282" s="8">
        <v>1200</v>
      </c>
      <c r="H282" s="129" t="s">
        <v>1100</v>
      </c>
      <c r="I282" s="55">
        <v>1277</v>
      </c>
      <c r="J282" s="1"/>
    </row>
    <row r="283" spans="1:10" ht="24" x14ac:dyDescent="0.25">
      <c r="A283" s="115">
        <v>226</v>
      </c>
      <c r="B283" s="139" t="s">
        <v>911</v>
      </c>
      <c r="C283" s="140" t="s">
        <v>1329</v>
      </c>
      <c r="D283" s="56">
        <v>42650</v>
      </c>
      <c r="E283" s="56">
        <v>43014</v>
      </c>
      <c r="F283" s="8">
        <v>12000</v>
      </c>
      <c r="G283" s="8">
        <v>15000</v>
      </c>
      <c r="H283" s="129" t="s">
        <v>1478</v>
      </c>
      <c r="I283" s="55">
        <v>9163.42</v>
      </c>
      <c r="J283" s="1"/>
    </row>
    <row r="284" spans="1:10" ht="36" x14ac:dyDescent="0.25">
      <c r="A284" s="115">
        <v>227</v>
      </c>
      <c r="B284" s="139" t="s">
        <v>806</v>
      </c>
      <c r="C284" s="140" t="s">
        <v>1330</v>
      </c>
      <c r="D284" s="56">
        <v>42648</v>
      </c>
      <c r="E284" s="56">
        <v>43013</v>
      </c>
      <c r="F284" s="8">
        <v>6144</v>
      </c>
      <c r="G284" s="8">
        <v>7680</v>
      </c>
      <c r="H284" s="129" t="s">
        <v>1100</v>
      </c>
      <c r="I284" s="55">
        <v>49493.1</v>
      </c>
      <c r="J284" s="1"/>
    </row>
    <row r="285" spans="1:10" ht="48" x14ac:dyDescent="0.25">
      <c r="A285" s="115">
        <v>228</v>
      </c>
      <c r="B285" s="139" t="s">
        <v>506</v>
      </c>
      <c r="C285" s="140" t="s">
        <v>1331</v>
      </c>
      <c r="D285" s="56">
        <v>42647</v>
      </c>
      <c r="E285" s="56">
        <v>43100</v>
      </c>
      <c r="F285" s="8">
        <v>40000</v>
      </c>
      <c r="G285" s="8">
        <v>50000</v>
      </c>
      <c r="H285" s="129" t="s">
        <v>1100</v>
      </c>
      <c r="I285" s="55">
        <v>37956.550000000003</v>
      </c>
      <c r="J285" s="1"/>
    </row>
    <row r="286" spans="1:10" x14ac:dyDescent="0.25">
      <c r="A286" s="115">
        <v>229</v>
      </c>
      <c r="B286" s="139" t="s">
        <v>542</v>
      </c>
      <c r="C286" s="140" t="s">
        <v>1332</v>
      </c>
      <c r="D286" s="56">
        <v>42647</v>
      </c>
      <c r="E286" s="56">
        <v>43012</v>
      </c>
      <c r="F286" s="8">
        <v>0</v>
      </c>
      <c r="G286" s="8">
        <v>0</v>
      </c>
      <c r="H286" s="129" t="s">
        <v>1479</v>
      </c>
      <c r="I286" s="55">
        <v>9733.08</v>
      </c>
      <c r="J286" s="1"/>
    </row>
    <row r="287" spans="1:10" ht="24" x14ac:dyDescent="0.25">
      <c r="A287" s="115">
        <v>230</v>
      </c>
      <c r="B287" s="139" t="s">
        <v>514</v>
      </c>
      <c r="C287" s="140" t="s">
        <v>1333</v>
      </c>
      <c r="D287" s="56">
        <v>42626</v>
      </c>
      <c r="E287" s="56">
        <v>43100</v>
      </c>
      <c r="F287" s="8">
        <v>1951.65</v>
      </c>
      <c r="G287" s="8">
        <v>2439.56</v>
      </c>
      <c r="H287" s="129" t="s">
        <v>1100</v>
      </c>
      <c r="I287" s="55">
        <v>3557.52</v>
      </c>
      <c r="J287" s="1"/>
    </row>
    <row r="288" spans="1:10" ht="24" x14ac:dyDescent="0.25">
      <c r="A288" s="115">
        <v>231</v>
      </c>
      <c r="B288" s="139" t="s">
        <v>528</v>
      </c>
      <c r="C288" s="140" t="s">
        <v>1334</v>
      </c>
      <c r="D288" s="56">
        <v>42644</v>
      </c>
      <c r="E288" s="56">
        <v>43373</v>
      </c>
      <c r="F288" s="8">
        <v>47000</v>
      </c>
      <c r="G288" s="8">
        <v>58750</v>
      </c>
      <c r="H288" s="129" t="s">
        <v>1102</v>
      </c>
      <c r="I288" s="55">
        <v>55114.04</v>
      </c>
      <c r="J288" s="1"/>
    </row>
    <row r="289" spans="1:10" ht="24" x14ac:dyDescent="0.25">
      <c r="A289" s="115">
        <v>232</v>
      </c>
      <c r="B289" s="139" t="s">
        <v>913</v>
      </c>
      <c r="C289" s="140" t="s">
        <v>1335</v>
      </c>
      <c r="D289" s="56">
        <v>42644</v>
      </c>
      <c r="E289" s="56">
        <v>43100</v>
      </c>
      <c r="F289" s="8">
        <v>2880</v>
      </c>
      <c r="G289" s="8">
        <v>3600</v>
      </c>
      <c r="H289" s="129" t="s">
        <v>1100</v>
      </c>
      <c r="I289" s="55">
        <v>1843.74</v>
      </c>
      <c r="J289" s="1"/>
    </row>
    <row r="290" spans="1:10" x14ac:dyDescent="0.25">
      <c r="A290" s="115">
        <v>233</v>
      </c>
      <c r="B290" s="139" t="s">
        <v>707</v>
      </c>
      <c r="C290" s="140" t="s">
        <v>1336</v>
      </c>
      <c r="D290" s="56">
        <v>42636</v>
      </c>
      <c r="E290" s="56">
        <v>43001</v>
      </c>
      <c r="F290" s="8">
        <v>17600</v>
      </c>
      <c r="G290" s="8">
        <v>22000</v>
      </c>
      <c r="H290" s="129" t="s">
        <v>1100</v>
      </c>
      <c r="I290" s="55">
        <v>2921.62</v>
      </c>
      <c r="J290" s="1"/>
    </row>
    <row r="291" spans="1:10" ht="24" x14ac:dyDescent="0.25">
      <c r="A291" s="115">
        <v>234</v>
      </c>
      <c r="B291" s="139" t="s">
        <v>562</v>
      </c>
      <c r="C291" s="140" t="s">
        <v>1337</v>
      </c>
      <c r="D291" s="56">
        <v>42634</v>
      </c>
      <c r="E291" s="56">
        <v>42999</v>
      </c>
      <c r="F291" s="8">
        <v>0</v>
      </c>
      <c r="G291" s="8">
        <v>0</v>
      </c>
      <c r="H291" s="129" t="s">
        <v>1100</v>
      </c>
      <c r="I291" s="55">
        <v>14173.15</v>
      </c>
      <c r="J291" s="1"/>
    </row>
    <row r="292" spans="1:10" ht="24" x14ac:dyDescent="0.25">
      <c r="A292" s="115">
        <v>235</v>
      </c>
      <c r="B292" s="139" t="s">
        <v>658</v>
      </c>
      <c r="C292" s="140" t="s">
        <v>1338</v>
      </c>
      <c r="D292" s="56">
        <v>42633</v>
      </c>
      <c r="E292" s="56">
        <v>42997</v>
      </c>
      <c r="F292" s="8">
        <v>36000</v>
      </c>
      <c r="G292" s="8">
        <v>45000</v>
      </c>
      <c r="H292" s="129" t="s">
        <v>1102</v>
      </c>
      <c r="I292" s="55">
        <v>20904.509999999998</v>
      </c>
      <c r="J292" s="1"/>
    </row>
    <row r="293" spans="1:10" x14ac:dyDescent="0.25">
      <c r="A293" s="115">
        <v>236</v>
      </c>
      <c r="B293" s="139" t="s">
        <v>951</v>
      </c>
      <c r="C293" s="140" t="s">
        <v>1126</v>
      </c>
      <c r="D293" s="56">
        <v>42627</v>
      </c>
      <c r="E293" s="56">
        <v>42992</v>
      </c>
      <c r="F293" s="8">
        <v>1698.4</v>
      </c>
      <c r="G293" s="8">
        <v>2123</v>
      </c>
      <c r="H293" s="129" t="s">
        <v>1480</v>
      </c>
      <c r="I293" s="55">
        <v>1341.6</v>
      </c>
      <c r="J293" s="1"/>
    </row>
    <row r="294" spans="1:10" ht="24" x14ac:dyDescent="0.25">
      <c r="A294" s="115">
        <v>237</v>
      </c>
      <c r="B294" s="139" t="s">
        <v>696</v>
      </c>
      <c r="C294" s="140" t="s">
        <v>1339</v>
      </c>
      <c r="D294" s="56">
        <v>42472</v>
      </c>
      <c r="E294" s="56">
        <v>42987</v>
      </c>
      <c r="F294" s="8">
        <v>4500</v>
      </c>
      <c r="G294" s="8">
        <v>5625</v>
      </c>
      <c r="H294" s="129" t="s">
        <v>1100</v>
      </c>
      <c r="I294" s="55">
        <v>4042.83</v>
      </c>
      <c r="J294" s="1"/>
    </row>
    <row r="295" spans="1:10" ht="24" x14ac:dyDescent="0.25">
      <c r="A295" s="115">
        <v>238</v>
      </c>
      <c r="B295" s="139" t="s">
        <v>873</v>
      </c>
      <c r="C295" s="140" t="s">
        <v>1340</v>
      </c>
      <c r="D295" s="56">
        <v>42618</v>
      </c>
      <c r="E295" s="56">
        <v>42982</v>
      </c>
      <c r="F295" s="8">
        <v>6000</v>
      </c>
      <c r="G295" s="8">
        <v>7500</v>
      </c>
      <c r="H295" s="129" t="s">
        <v>1481</v>
      </c>
      <c r="I295" s="55">
        <v>2168.48</v>
      </c>
      <c r="J295" s="1"/>
    </row>
    <row r="296" spans="1:10" ht="24" x14ac:dyDescent="0.25">
      <c r="A296" s="115">
        <v>239</v>
      </c>
      <c r="B296" s="139" t="s">
        <v>954</v>
      </c>
      <c r="C296" s="140" t="s">
        <v>1341</v>
      </c>
      <c r="D296" s="56">
        <v>42655</v>
      </c>
      <c r="E296" s="56">
        <v>42982</v>
      </c>
      <c r="F296" s="8">
        <v>2628</v>
      </c>
      <c r="G296" s="8">
        <v>3285</v>
      </c>
      <c r="H296" s="129" t="s">
        <v>1102</v>
      </c>
      <c r="I296" s="55">
        <v>2790.48</v>
      </c>
      <c r="J296" s="1"/>
    </row>
    <row r="297" spans="1:10" ht="24" x14ac:dyDescent="0.25">
      <c r="A297" s="115">
        <v>240</v>
      </c>
      <c r="B297" s="139" t="s">
        <v>504</v>
      </c>
      <c r="C297" s="140" t="s">
        <v>1342</v>
      </c>
      <c r="D297" s="56">
        <v>42614</v>
      </c>
      <c r="E297" s="56">
        <v>43100</v>
      </c>
      <c r="F297" s="8">
        <v>60000</v>
      </c>
      <c r="G297" s="8">
        <v>75000</v>
      </c>
      <c r="H297" s="129" t="s">
        <v>1100</v>
      </c>
      <c r="I297" s="55">
        <v>51036.13</v>
      </c>
      <c r="J297" s="1"/>
    </row>
    <row r="298" spans="1:10" ht="24" x14ac:dyDescent="0.25">
      <c r="A298" s="115">
        <v>241</v>
      </c>
      <c r="B298" s="139" t="s">
        <v>617</v>
      </c>
      <c r="C298" s="140" t="s">
        <v>1343</v>
      </c>
      <c r="D298" s="56">
        <v>42656</v>
      </c>
      <c r="E298" s="56">
        <v>42978</v>
      </c>
      <c r="F298" s="8">
        <v>6800</v>
      </c>
      <c r="G298" s="8">
        <v>8500</v>
      </c>
      <c r="H298" s="129" t="s">
        <v>1482</v>
      </c>
      <c r="I298" s="55">
        <v>3780.67</v>
      </c>
      <c r="J298" s="1"/>
    </row>
    <row r="299" spans="1:10" ht="24" x14ac:dyDescent="0.25">
      <c r="A299" s="115">
        <v>242</v>
      </c>
      <c r="B299" s="139" t="s">
        <v>593</v>
      </c>
      <c r="C299" s="140" t="s">
        <v>1344</v>
      </c>
      <c r="D299" s="56">
        <v>42629</v>
      </c>
      <c r="E299" s="56">
        <v>43100</v>
      </c>
      <c r="F299" s="8">
        <v>76800</v>
      </c>
      <c r="G299" s="8">
        <v>96000</v>
      </c>
      <c r="H299" s="129" t="s">
        <v>1100</v>
      </c>
      <c r="I299" s="55">
        <v>31029.81</v>
      </c>
      <c r="J299" s="1"/>
    </row>
    <row r="300" spans="1:10" x14ac:dyDescent="0.25">
      <c r="A300" s="115">
        <v>243</v>
      </c>
      <c r="B300" s="139" t="s">
        <v>604</v>
      </c>
      <c r="C300" s="140" t="s">
        <v>1345</v>
      </c>
      <c r="D300" s="56">
        <v>42613</v>
      </c>
      <c r="E300" s="56">
        <v>42978</v>
      </c>
      <c r="F300" s="8">
        <v>14000</v>
      </c>
      <c r="G300" s="8">
        <v>17500</v>
      </c>
      <c r="H300" s="129" t="s">
        <v>1100</v>
      </c>
      <c r="I300" s="55">
        <v>3824.49</v>
      </c>
      <c r="J300" s="1"/>
    </row>
    <row r="301" spans="1:10" ht="24" x14ac:dyDescent="0.25">
      <c r="A301" s="115">
        <v>244</v>
      </c>
      <c r="B301" s="139" t="s">
        <v>848</v>
      </c>
      <c r="C301" s="140" t="s">
        <v>1346</v>
      </c>
      <c r="D301" s="56">
        <v>42613</v>
      </c>
      <c r="E301" s="56">
        <v>42978</v>
      </c>
      <c r="F301" s="8">
        <v>10400</v>
      </c>
      <c r="G301" s="8">
        <v>13000</v>
      </c>
      <c r="H301" s="129" t="s">
        <v>1482</v>
      </c>
      <c r="I301" s="55">
        <v>5684.18</v>
      </c>
      <c r="J301" s="1"/>
    </row>
    <row r="302" spans="1:10" ht="24" x14ac:dyDescent="0.25">
      <c r="A302" s="115">
        <v>245</v>
      </c>
      <c r="B302" s="139" t="s">
        <v>762</v>
      </c>
      <c r="C302" s="140" t="s">
        <v>1347</v>
      </c>
      <c r="D302" s="56">
        <v>42612</v>
      </c>
      <c r="E302" s="56">
        <v>42977</v>
      </c>
      <c r="F302" s="8">
        <v>480</v>
      </c>
      <c r="G302" s="8">
        <v>600</v>
      </c>
      <c r="H302" s="129" t="s">
        <v>1483</v>
      </c>
      <c r="I302" s="55">
        <v>669.5</v>
      </c>
      <c r="J302" s="1"/>
    </row>
    <row r="303" spans="1:10" ht="24" x14ac:dyDescent="0.25">
      <c r="A303" s="115">
        <v>246</v>
      </c>
      <c r="B303" s="139" t="s">
        <v>489</v>
      </c>
      <c r="C303" s="140" t="s">
        <v>1348</v>
      </c>
      <c r="D303" s="56">
        <v>42606</v>
      </c>
      <c r="E303" s="56">
        <v>42970</v>
      </c>
      <c r="F303" s="8">
        <v>3072</v>
      </c>
      <c r="G303" s="8">
        <v>3840</v>
      </c>
      <c r="H303" s="129" t="s">
        <v>1484</v>
      </c>
      <c r="I303" s="55">
        <v>7735.84</v>
      </c>
      <c r="J303" s="1"/>
    </row>
    <row r="304" spans="1:10" ht="24" x14ac:dyDescent="0.25">
      <c r="A304" s="115">
        <v>247</v>
      </c>
      <c r="B304" s="139" t="s">
        <v>669</v>
      </c>
      <c r="C304" s="140" t="s">
        <v>1349</v>
      </c>
      <c r="D304" s="56">
        <v>42601</v>
      </c>
      <c r="E304" s="56">
        <v>42966</v>
      </c>
      <c r="F304" s="8">
        <v>0</v>
      </c>
      <c r="G304" s="8">
        <v>0</v>
      </c>
      <c r="H304" s="129" t="s">
        <v>1485</v>
      </c>
      <c r="I304" s="55">
        <v>546.66999999999996</v>
      </c>
      <c r="J304" s="1"/>
    </row>
    <row r="305" spans="1:10" ht="24" x14ac:dyDescent="0.25">
      <c r="A305" s="115">
        <v>248</v>
      </c>
      <c r="B305" s="139" t="s">
        <v>706</v>
      </c>
      <c r="C305" s="140" t="s">
        <v>1350</v>
      </c>
      <c r="D305" s="56">
        <v>42600</v>
      </c>
      <c r="E305" s="56">
        <v>43100</v>
      </c>
      <c r="F305" s="8">
        <v>3000</v>
      </c>
      <c r="G305" s="8">
        <v>3750</v>
      </c>
      <c r="H305" s="129" t="s">
        <v>1100</v>
      </c>
      <c r="I305" s="55">
        <v>3192.63</v>
      </c>
      <c r="J305" s="1"/>
    </row>
    <row r="306" spans="1:10" ht="36" x14ac:dyDescent="0.25">
      <c r="A306" s="115">
        <v>249</v>
      </c>
      <c r="B306" s="139" t="s">
        <v>742</v>
      </c>
      <c r="C306" s="140" t="s">
        <v>1351</v>
      </c>
      <c r="D306" s="56">
        <v>42598</v>
      </c>
      <c r="E306" s="56">
        <v>43100</v>
      </c>
      <c r="F306" s="8">
        <v>73600</v>
      </c>
      <c r="G306" s="8">
        <v>92000</v>
      </c>
      <c r="H306" s="129" t="s">
        <v>1100</v>
      </c>
      <c r="I306" s="55">
        <v>43492.83</v>
      </c>
      <c r="J306" s="1"/>
    </row>
    <row r="307" spans="1:10" ht="36" x14ac:dyDescent="0.25">
      <c r="A307" s="115">
        <v>250</v>
      </c>
      <c r="B307" s="139" t="s">
        <v>831</v>
      </c>
      <c r="C307" s="140" t="s">
        <v>1352</v>
      </c>
      <c r="D307" s="56">
        <v>42563</v>
      </c>
      <c r="E307" s="56">
        <v>42928</v>
      </c>
      <c r="F307" s="8">
        <v>8593.6</v>
      </c>
      <c r="G307" s="8">
        <v>10742</v>
      </c>
      <c r="H307" s="129" t="s">
        <v>1100</v>
      </c>
      <c r="I307" s="55">
        <v>14579.67</v>
      </c>
      <c r="J307" s="1"/>
    </row>
    <row r="308" spans="1:10" ht="24" x14ac:dyDescent="0.25">
      <c r="A308" s="115">
        <v>251</v>
      </c>
      <c r="B308" s="139" t="s">
        <v>564</v>
      </c>
      <c r="C308" s="140" t="s">
        <v>1353</v>
      </c>
      <c r="D308" s="56">
        <v>42592</v>
      </c>
      <c r="E308" s="56">
        <v>42957</v>
      </c>
      <c r="F308" s="8">
        <v>0</v>
      </c>
      <c r="G308" s="8">
        <v>0</v>
      </c>
      <c r="H308" s="129" t="s">
        <v>1100</v>
      </c>
      <c r="I308" s="55">
        <v>3563.45</v>
      </c>
      <c r="J308" s="1"/>
    </row>
    <row r="309" spans="1:10" ht="24" x14ac:dyDescent="0.25">
      <c r="A309" s="115">
        <v>252</v>
      </c>
      <c r="B309" s="139" t="s">
        <v>884</v>
      </c>
      <c r="C309" s="140" t="s">
        <v>1354</v>
      </c>
      <c r="D309" s="56">
        <v>42586</v>
      </c>
      <c r="E309" s="56">
        <v>42951</v>
      </c>
      <c r="F309" s="8">
        <v>3072</v>
      </c>
      <c r="G309" s="8">
        <v>3840</v>
      </c>
      <c r="H309" s="129" t="s">
        <v>1100</v>
      </c>
      <c r="I309" s="55">
        <v>38583.78</v>
      </c>
      <c r="J309" s="1"/>
    </row>
    <row r="310" spans="1:10" ht="24" x14ac:dyDescent="0.25">
      <c r="A310" s="115">
        <v>253</v>
      </c>
      <c r="B310" s="139" t="s">
        <v>616</v>
      </c>
      <c r="C310" s="140" t="s">
        <v>1355</v>
      </c>
      <c r="D310" s="56">
        <v>42582</v>
      </c>
      <c r="E310" s="56">
        <v>42947</v>
      </c>
      <c r="F310" s="8">
        <v>7200</v>
      </c>
      <c r="G310" s="8">
        <v>9000</v>
      </c>
      <c r="H310" s="129" t="s">
        <v>1486</v>
      </c>
      <c r="I310" s="55">
        <v>3000.49</v>
      </c>
      <c r="J310" s="1"/>
    </row>
    <row r="311" spans="1:10" ht="24" x14ac:dyDescent="0.25">
      <c r="A311" s="115">
        <v>254</v>
      </c>
      <c r="B311" s="139" t="s">
        <v>809</v>
      </c>
      <c r="C311" s="140" t="s">
        <v>1355</v>
      </c>
      <c r="D311" s="56">
        <v>42549</v>
      </c>
      <c r="E311" s="56">
        <v>42948</v>
      </c>
      <c r="F311" s="8">
        <v>0</v>
      </c>
      <c r="G311" s="8">
        <v>0</v>
      </c>
      <c r="H311" s="129" t="s">
        <v>1487</v>
      </c>
      <c r="I311" s="55">
        <v>23932.82</v>
      </c>
      <c r="J311" s="1"/>
    </row>
    <row r="312" spans="1:10" ht="24" x14ac:dyDescent="0.25">
      <c r="A312" s="115">
        <v>255</v>
      </c>
      <c r="B312" s="139" t="s">
        <v>816</v>
      </c>
      <c r="C312" s="140" t="s">
        <v>1356</v>
      </c>
      <c r="D312" s="56">
        <v>42569</v>
      </c>
      <c r="E312" s="56">
        <v>42933</v>
      </c>
      <c r="F312" s="8">
        <v>1920</v>
      </c>
      <c r="G312" s="8">
        <v>2400</v>
      </c>
      <c r="H312" s="129" t="s">
        <v>1100</v>
      </c>
      <c r="I312" s="55">
        <v>1695.15</v>
      </c>
      <c r="J312" s="1"/>
    </row>
    <row r="313" spans="1:10" ht="24" x14ac:dyDescent="0.25">
      <c r="A313" s="115">
        <v>256</v>
      </c>
      <c r="B313" s="139" t="s">
        <v>878</v>
      </c>
      <c r="C313" s="140" t="s">
        <v>1357</v>
      </c>
      <c r="D313" s="56">
        <v>42563</v>
      </c>
      <c r="E313" s="56">
        <v>42926</v>
      </c>
      <c r="F313" s="8">
        <v>2300</v>
      </c>
      <c r="G313" s="142"/>
      <c r="H313" s="129" t="s">
        <v>1100</v>
      </c>
      <c r="I313" s="55">
        <v>1410.98</v>
      </c>
      <c r="J313" s="1"/>
    </row>
    <row r="314" spans="1:10" ht="24" x14ac:dyDescent="0.25">
      <c r="A314" s="115">
        <v>257</v>
      </c>
      <c r="B314" s="139" t="s">
        <v>490</v>
      </c>
      <c r="C314" s="140" t="s">
        <v>1358</v>
      </c>
      <c r="D314" s="56">
        <v>42562</v>
      </c>
      <c r="E314" s="56">
        <v>42926</v>
      </c>
      <c r="F314" s="8">
        <v>16416</v>
      </c>
      <c r="G314" s="8">
        <v>20520</v>
      </c>
      <c r="H314" s="129" t="s">
        <v>1488</v>
      </c>
      <c r="I314" s="55">
        <v>4049.68</v>
      </c>
      <c r="J314" s="1"/>
    </row>
    <row r="315" spans="1:10" ht="36" x14ac:dyDescent="0.25">
      <c r="A315" s="115">
        <v>258</v>
      </c>
      <c r="B315" s="139" t="s">
        <v>686</v>
      </c>
      <c r="C315" s="140" t="s">
        <v>1359</v>
      </c>
      <c r="D315" s="56">
        <v>42558</v>
      </c>
      <c r="E315" s="56">
        <v>42922</v>
      </c>
      <c r="F315" s="8">
        <v>0</v>
      </c>
      <c r="G315" s="8">
        <v>0</v>
      </c>
      <c r="H315" s="129" t="s">
        <v>1102</v>
      </c>
      <c r="I315" s="55">
        <v>4605.17</v>
      </c>
      <c r="J315" s="1"/>
    </row>
    <row r="316" spans="1:10" ht="24" x14ac:dyDescent="0.25">
      <c r="A316" s="115">
        <v>259</v>
      </c>
      <c r="B316" s="139" t="s">
        <v>780</v>
      </c>
      <c r="C316" s="140" t="s">
        <v>1360</v>
      </c>
      <c r="D316" s="56">
        <v>42555</v>
      </c>
      <c r="E316" s="56">
        <v>42920</v>
      </c>
      <c r="F316" s="8">
        <v>0</v>
      </c>
      <c r="G316" s="8">
        <v>0</v>
      </c>
      <c r="H316" s="129" t="s">
        <v>1489</v>
      </c>
      <c r="I316" s="55">
        <v>4838.3100000000004</v>
      </c>
      <c r="J316" s="1"/>
    </row>
    <row r="317" spans="1:10" ht="24" x14ac:dyDescent="0.25">
      <c r="A317" s="115">
        <v>260</v>
      </c>
      <c r="B317" s="139" t="s">
        <v>687</v>
      </c>
      <c r="C317" s="140" t="s">
        <v>1361</v>
      </c>
      <c r="D317" s="56">
        <v>42552</v>
      </c>
      <c r="E317" s="56">
        <v>43100</v>
      </c>
      <c r="F317" s="8">
        <v>0</v>
      </c>
      <c r="G317" s="8">
        <v>0</v>
      </c>
      <c r="H317" s="129" t="s">
        <v>1100</v>
      </c>
      <c r="I317" s="55">
        <v>31028.92</v>
      </c>
      <c r="J317" s="1"/>
    </row>
    <row r="318" spans="1:10" ht="24" x14ac:dyDescent="0.25">
      <c r="A318" s="115">
        <v>261</v>
      </c>
      <c r="B318" s="139" t="s">
        <v>764</v>
      </c>
      <c r="C318" s="140" t="s">
        <v>1362</v>
      </c>
      <c r="D318" s="56">
        <v>42552</v>
      </c>
      <c r="E318" s="56">
        <v>43100</v>
      </c>
      <c r="F318" s="8">
        <v>20000</v>
      </c>
      <c r="G318" s="8">
        <v>25000</v>
      </c>
      <c r="H318" s="129" t="s">
        <v>1100</v>
      </c>
      <c r="I318" s="55">
        <v>19103</v>
      </c>
      <c r="J318" s="1"/>
    </row>
    <row r="319" spans="1:10" ht="24" x14ac:dyDescent="0.25">
      <c r="A319" s="115">
        <v>262</v>
      </c>
      <c r="B319" s="139" t="s">
        <v>914</v>
      </c>
      <c r="C319" s="140" t="s">
        <v>1363</v>
      </c>
      <c r="D319" s="56">
        <v>42551</v>
      </c>
      <c r="E319" s="56">
        <v>42916</v>
      </c>
      <c r="F319" s="8">
        <v>56000</v>
      </c>
      <c r="G319" s="8">
        <v>70000</v>
      </c>
      <c r="H319" s="129" t="s">
        <v>1100</v>
      </c>
      <c r="I319" s="55">
        <v>93092.72</v>
      </c>
      <c r="J319" s="1"/>
    </row>
    <row r="320" spans="1:10" ht="24" x14ac:dyDescent="0.25">
      <c r="A320" s="115">
        <v>263</v>
      </c>
      <c r="B320" s="139" t="s">
        <v>524</v>
      </c>
      <c r="C320" s="140" t="s">
        <v>1364</v>
      </c>
      <c r="D320" s="56">
        <v>42517</v>
      </c>
      <c r="E320" s="56">
        <v>43100</v>
      </c>
      <c r="F320" s="8">
        <v>42000</v>
      </c>
      <c r="G320" s="8">
        <v>52500</v>
      </c>
      <c r="H320" s="129" t="s">
        <v>1100</v>
      </c>
      <c r="I320" s="55">
        <v>34614.33</v>
      </c>
      <c r="J320" s="1"/>
    </row>
    <row r="321" spans="1:10" ht="24" x14ac:dyDescent="0.25">
      <c r="A321" s="115">
        <v>264</v>
      </c>
      <c r="B321" s="139" t="s">
        <v>503</v>
      </c>
      <c r="C321" s="140" t="s">
        <v>1365</v>
      </c>
      <c r="D321" s="56">
        <v>42632</v>
      </c>
      <c r="E321" s="56">
        <v>43100</v>
      </c>
      <c r="F321" s="8">
        <v>14000</v>
      </c>
      <c r="G321" s="8">
        <v>17500</v>
      </c>
      <c r="H321" s="129" t="s">
        <v>1100</v>
      </c>
      <c r="I321" s="55">
        <v>2935.69</v>
      </c>
      <c r="J321" s="1"/>
    </row>
    <row r="322" spans="1:10" ht="24" x14ac:dyDescent="0.25">
      <c r="A322" s="115">
        <v>265</v>
      </c>
      <c r="B322" s="139" t="s">
        <v>642</v>
      </c>
      <c r="C322" s="140" t="s">
        <v>1366</v>
      </c>
      <c r="D322" s="56">
        <v>42552</v>
      </c>
      <c r="E322" s="56">
        <v>42917</v>
      </c>
      <c r="F322" s="8">
        <v>0</v>
      </c>
      <c r="G322" s="8">
        <v>0</v>
      </c>
      <c r="H322" s="129" t="s">
        <v>1490</v>
      </c>
      <c r="I322" s="55">
        <v>6863</v>
      </c>
      <c r="J322" s="1"/>
    </row>
    <row r="323" spans="1:10" ht="24" x14ac:dyDescent="0.25">
      <c r="A323" s="115">
        <v>266</v>
      </c>
      <c r="B323" s="139" t="s">
        <v>862</v>
      </c>
      <c r="C323" s="140" t="s">
        <v>1367</v>
      </c>
      <c r="D323" s="56">
        <v>42460</v>
      </c>
      <c r="E323" s="56">
        <v>43100</v>
      </c>
      <c r="F323" s="8">
        <v>0</v>
      </c>
      <c r="G323" s="8">
        <v>0</v>
      </c>
      <c r="H323" s="129" t="s">
        <v>1100</v>
      </c>
      <c r="I323" s="55">
        <v>14100.53</v>
      </c>
      <c r="J323" s="1"/>
    </row>
    <row r="324" spans="1:10" ht="24" x14ac:dyDescent="0.25">
      <c r="A324" s="115">
        <v>267</v>
      </c>
      <c r="B324" s="139" t="s">
        <v>511</v>
      </c>
      <c r="C324" s="140" t="s">
        <v>1368</v>
      </c>
      <c r="D324" s="56">
        <v>42551</v>
      </c>
      <c r="E324" s="56">
        <v>42915</v>
      </c>
      <c r="F324" s="8">
        <v>41400</v>
      </c>
      <c r="G324" s="8">
        <v>49680</v>
      </c>
      <c r="H324" s="129" t="s">
        <v>1105</v>
      </c>
      <c r="I324" s="55">
        <v>19934.43</v>
      </c>
      <c r="J324" s="1"/>
    </row>
    <row r="325" spans="1:10" ht="24" x14ac:dyDescent="0.25">
      <c r="A325" s="115">
        <v>268</v>
      </c>
      <c r="B325" s="139" t="s">
        <v>678</v>
      </c>
      <c r="C325" s="140" t="s">
        <v>1369</v>
      </c>
      <c r="D325" s="56">
        <v>42496</v>
      </c>
      <c r="E325" s="56">
        <v>42913</v>
      </c>
      <c r="F325" s="8">
        <v>62000</v>
      </c>
      <c r="G325" s="8">
        <v>77500</v>
      </c>
      <c r="H325" s="129" t="s">
        <v>1105</v>
      </c>
      <c r="I325" s="55">
        <v>35648.449999999997</v>
      </c>
      <c r="J325" s="1"/>
    </row>
    <row r="326" spans="1:10" ht="24" x14ac:dyDescent="0.25">
      <c r="A326" s="115">
        <v>269</v>
      </c>
      <c r="B326" s="139" t="s">
        <v>964</v>
      </c>
      <c r="C326" s="140" t="s">
        <v>1370</v>
      </c>
      <c r="D326" s="56">
        <v>42548</v>
      </c>
      <c r="E326" s="56">
        <v>42913</v>
      </c>
      <c r="F326" s="8">
        <v>0</v>
      </c>
      <c r="G326" s="8">
        <v>0</v>
      </c>
      <c r="H326" s="129" t="s">
        <v>1100</v>
      </c>
      <c r="I326" s="55">
        <v>50213.56</v>
      </c>
      <c r="J326" s="1"/>
    </row>
    <row r="327" spans="1:10" ht="24" x14ac:dyDescent="0.25">
      <c r="A327" s="115">
        <v>270</v>
      </c>
      <c r="B327" s="139" t="s">
        <v>892</v>
      </c>
      <c r="C327" s="140" t="s">
        <v>1371</v>
      </c>
      <c r="D327" s="56">
        <v>42544</v>
      </c>
      <c r="E327" s="56">
        <v>42909</v>
      </c>
      <c r="F327" s="8">
        <v>0</v>
      </c>
      <c r="G327" s="8">
        <v>0</v>
      </c>
      <c r="H327" s="129" t="s">
        <v>1100</v>
      </c>
      <c r="I327" s="55">
        <v>6539.96</v>
      </c>
      <c r="J327" s="1"/>
    </row>
    <row r="328" spans="1:10" ht="24" x14ac:dyDescent="0.25">
      <c r="A328" s="115">
        <v>271</v>
      </c>
      <c r="B328" s="139" t="s">
        <v>602</v>
      </c>
      <c r="C328" s="140" t="s">
        <v>1372</v>
      </c>
      <c r="D328" s="56">
        <v>42544</v>
      </c>
      <c r="E328" s="56">
        <v>42908</v>
      </c>
      <c r="F328" s="8">
        <v>3072</v>
      </c>
      <c r="G328" s="8">
        <v>3840</v>
      </c>
      <c r="H328" s="129" t="s">
        <v>1105</v>
      </c>
      <c r="I328" s="55">
        <v>13588.27</v>
      </c>
      <c r="J328" s="1"/>
    </row>
    <row r="329" spans="1:10" ht="36" x14ac:dyDescent="0.25">
      <c r="A329" s="115">
        <v>272</v>
      </c>
      <c r="B329" s="139" t="s">
        <v>634</v>
      </c>
      <c r="C329" s="140" t="s">
        <v>1373</v>
      </c>
      <c r="D329" s="56">
        <v>42541</v>
      </c>
      <c r="E329" s="56">
        <v>42906</v>
      </c>
      <c r="F329" s="8">
        <v>0</v>
      </c>
      <c r="G329" s="8">
        <v>0</v>
      </c>
      <c r="H329" s="129" t="s">
        <v>1100</v>
      </c>
      <c r="I329" s="55">
        <v>20240.650000000001</v>
      </c>
      <c r="J329" s="1"/>
    </row>
    <row r="330" spans="1:10" ht="24" x14ac:dyDescent="0.25">
      <c r="A330" s="115">
        <v>273</v>
      </c>
      <c r="B330" s="139" t="s">
        <v>560</v>
      </c>
      <c r="C330" s="140" t="s">
        <v>1374</v>
      </c>
      <c r="D330" s="56">
        <v>42562</v>
      </c>
      <c r="E330" s="56">
        <v>42901</v>
      </c>
      <c r="F330" s="8">
        <v>11072</v>
      </c>
      <c r="G330" s="8">
        <v>13840</v>
      </c>
      <c r="H330" s="129" t="s">
        <v>1100</v>
      </c>
      <c r="I330" s="55">
        <v>10879.24</v>
      </c>
      <c r="J330" s="1"/>
    </row>
    <row r="331" spans="1:10" ht="24" x14ac:dyDescent="0.25">
      <c r="A331" s="115">
        <v>274</v>
      </c>
      <c r="B331" s="139" t="s">
        <v>955</v>
      </c>
      <c r="C331" s="140" t="s">
        <v>1375</v>
      </c>
      <c r="D331" s="56">
        <v>42535</v>
      </c>
      <c r="E331" s="56">
        <v>42900</v>
      </c>
      <c r="F331" s="8">
        <v>384</v>
      </c>
      <c r="G331" s="8">
        <v>480</v>
      </c>
      <c r="H331" s="129" t="s">
        <v>1102</v>
      </c>
      <c r="I331" s="55">
        <v>0</v>
      </c>
      <c r="J331" s="1"/>
    </row>
    <row r="332" spans="1:10" ht="24" x14ac:dyDescent="0.25">
      <c r="A332" s="115">
        <v>275</v>
      </c>
      <c r="B332" s="139" t="s">
        <v>688</v>
      </c>
      <c r="C332" s="140" t="s">
        <v>1376</v>
      </c>
      <c r="D332" s="56">
        <v>42530</v>
      </c>
      <c r="E332" s="56">
        <v>43100</v>
      </c>
      <c r="F332" s="8">
        <v>8512.4</v>
      </c>
      <c r="G332" s="8">
        <v>10474.25</v>
      </c>
      <c r="H332" s="129" t="s">
        <v>1100</v>
      </c>
      <c r="I332" s="55">
        <v>2736.92</v>
      </c>
      <c r="J332" s="1"/>
    </row>
    <row r="333" spans="1:10" ht="36" x14ac:dyDescent="0.25">
      <c r="A333" s="115">
        <v>276</v>
      </c>
      <c r="B333" s="139" t="s">
        <v>851</v>
      </c>
      <c r="C333" s="140" t="s">
        <v>1377</v>
      </c>
      <c r="D333" s="56">
        <v>42522</v>
      </c>
      <c r="E333" s="56">
        <v>43100</v>
      </c>
      <c r="F333" s="8">
        <v>76555.199999999997</v>
      </c>
      <c r="G333" s="8">
        <v>95694</v>
      </c>
      <c r="H333" s="129" t="s">
        <v>1100</v>
      </c>
      <c r="I333" s="55">
        <v>6393.8</v>
      </c>
      <c r="J333" s="1"/>
    </row>
    <row r="334" spans="1:10" ht="24" x14ac:dyDescent="0.25">
      <c r="A334" s="115">
        <v>277</v>
      </c>
      <c r="B334" s="139" t="s">
        <v>637</v>
      </c>
      <c r="C334" s="140" t="s">
        <v>1378</v>
      </c>
      <c r="D334" s="56">
        <v>42523</v>
      </c>
      <c r="E334" s="56">
        <v>42887</v>
      </c>
      <c r="F334" s="8">
        <v>7460</v>
      </c>
      <c r="G334" s="8">
        <v>9325</v>
      </c>
      <c r="H334" s="129" t="s">
        <v>1100</v>
      </c>
      <c r="I334" s="55">
        <v>4212.84</v>
      </c>
      <c r="J334" s="1"/>
    </row>
    <row r="335" spans="1:10" ht="24" x14ac:dyDescent="0.25">
      <c r="A335" s="115">
        <v>278</v>
      </c>
      <c r="B335" s="139" t="s">
        <v>674</v>
      </c>
      <c r="C335" s="140" t="s">
        <v>1379</v>
      </c>
      <c r="D335" s="56">
        <v>42522</v>
      </c>
      <c r="E335" s="56">
        <v>42803</v>
      </c>
      <c r="F335" s="8">
        <v>5650</v>
      </c>
      <c r="G335" s="8">
        <v>7062.5</v>
      </c>
      <c r="H335" s="129" t="s">
        <v>1491</v>
      </c>
      <c r="I335" s="55">
        <v>1340</v>
      </c>
      <c r="J335" s="1"/>
    </row>
    <row r="336" spans="1:10" ht="24" x14ac:dyDescent="0.25">
      <c r="A336" s="115">
        <v>279</v>
      </c>
      <c r="B336" s="139" t="s">
        <v>916</v>
      </c>
      <c r="C336" s="140" t="s">
        <v>1380</v>
      </c>
      <c r="D336" s="56">
        <v>42486</v>
      </c>
      <c r="E336" s="56">
        <v>43100</v>
      </c>
      <c r="F336" s="8">
        <v>0</v>
      </c>
      <c r="G336" s="8">
        <v>0</v>
      </c>
      <c r="H336" s="129" t="s">
        <v>1100</v>
      </c>
      <c r="I336" s="55">
        <v>4381.2</v>
      </c>
      <c r="J336" s="1"/>
    </row>
    <row r="337" spans="1:10" ht="24" x14ac:dyDescent="0.25">
      <c r="A337" s="115">
        <v>280</v>
      </c>
      <c r="B337" s="139" t="s">
        <v>580</v>
      </c>
      <c r="C337" s="140" t="s">
        <v>1348</v>
      </c>
      <c r="D337" s="56">
        <v>42522</v>
      </c>
      <c r="E337" s="56">
        <v>42886</v>
      </c>
      <c r="F337" s="8">
        <v>6030</v>
      </c>
      <c r="G337" s="8">
        <v>7537.5</v>
      </c>
      <c r="H337" s="129" t="s">
        <v>1477</v>
      </c>
      <c r="I337" s="55">
        <v>4320</v>
      </c>
      <c r="J337" s="1"/>
    </row>
    <row r="338" spans="1:10" ht="24" x14ac:dyDescent="0.25">
      <c r="A338" s="115">
        <v>281</v>
      </c>
      <c r="B338" s="139" t="s">
        <v>965</v>
      </c>
      <c r="C338" s="140" t="s">
        <v>87</v>
      </c>
      <c r="D338" s="56">
        <v>42887</v>
      </c>
      <c r="E338" s="56">
        <v>43465</v>
      </c>
      <c r="F338" s="8">
        <v>199000</v>
      </c>
      <c r="G338" s="8">
        <v>248750</v>
      </c>
      <c r="H338" s="129" t="s">
        <v>1100</v>
      </c>
      <c r="I338" s="55">
        <v>11405</v>
      </c>
      <c r="J338" s="1"/>
    </row>
    <row r="339" spans="1:10" ht="24" x14ac:dyDescent="0.25">
      <c r="A339" s="115">
        <v>282</v>
      </c>
      <c r="B339" s="139" t="s">
        <v>722</v>
      </c>
      <c r="C339" s="140" t="s">
        <v>1381</v>
      </c>
      <c r="D339" s="56">
        <v>42508</v>
      </c>
      <c r="E339" s="56">
        <v>42886</v>
      </c>
      <c r="F339" s="8">
        <v>28400</v>
      </c>
      <c r="G339" s="8">
        <v>35500</v>
      </c>
      <c r="H339" s="129" t="s">
        <v>1492</v>
      </c>
      <c r="I339" s="55">
        <v>6956.91</v>
      </c>
      <c r="J339" s="1"/>
    </row>
    <row r="340" spans="1:10" ht="24" x14ac:dyDescent="0.25">
      <c r="A340" s="115">
        <v>283</v>
      </c>
      <c r="B340" s="139" t="s">
        <v>847</v>
      </c>
      <c r="C340" s="140" t="s">
        <v>1382</v>
      </c>
      <c r="D340" s="56">
        <v>42520</v>
      </c>
      <c r="E340" s="56">
        <v>42885</v>
      </c>
      <c r="F340" s="8">
        <v>0</v>
      </c>
      <c r="G340" s="8">
        <v>0</v>
      </c>
      <c r="H340" s="129" t="s">
        <v>1493</v>
      </c>
      <c r="I340" s="55">
        <v>803.15</v>
      </c>
      <c r="J340" s="1"/>
    </row>
    <row r="341" spans="1:10" ht="36" x14ac:dyDescent="0.25">
      <c r="A341" s="115">
        <v>284</v>
      </c>
      <c r="B341" s="139" t="s">
        <v>638</v>
      </c>
      <c r="C341" s="140" t="s">
        <v>1383</v>
      </c>
      <c r="D341" s="56">
        <v>42514</v>
      </c>
      <c r="E341" s="56">
        <v>42879</v>
      </c>
      <c r="F341" s="8">
        <v>246379.2</v>
      </c>
      <c r="G341" s="8">
        <v>307974</v>
      </c>
      <c r="H341" s="129" t="s">
        <v>1494</v>
      </c>
      <c r="I341" s="55">
        <v>38879.08</v>
      </c>
      <c r="J341" s="1"/>
    </row>
    <row r="342" spans="1:10" ht="24" x14ac:dyDescent="0.25">
      <c r="A342" s="115">
        <v>285</v>
      </c>
      <c r="B342" s="139" t="s">
        <v>829</v>
      </c>
      <c r="C342" s="140" t="s">
        <v>1384</v>
      </c>
      <c r="D342" s="56">
        <v>42513</v>
      </c>
      <c r="E342" s="56">
        <v>42878</v>
      </c>
      <c r="F342" s="8">
        <v>20800</v>
      </c>
      <c r="G342" s="8">
        <v>26000</v>
      </c>
      <c r="H342" s="129" t="s">
        <v>1100</v>
      </c>
      <c r="I342" s="55">
        <v>24195.69</v>
      </c>
      <c r="J342" s="1"/>
    </row>
    <row r="343" spans="1:10" ht="24" x14ac:dyDescent="0.25">
      <c r="A343" s="115">
        <v>286</v>
      </c>
      <c r="B343" s="139" t="s">
        <v>583</v>
      </c>
      <c r="C343" s="140" t="s">
        <v>1385</v>
      </c>
      <c r="D343" s="56">
        <v>42510</v>
      </c>
      <c r="E343" s="56">
        <v>43100</v>
      </c>
      <c r="F343" s="8">
        <v>5000</v>
      </c>
      <c r="G343" s="8">
        <v>6250</v>
      </c>
      <c r="H343" s="129" t="s">
        <v>1100</v>
      </c>
      <c r="I343" s="55">
        <v>1352.58</v>
      </c>
      <c r="J343" s="1"/>
    </row>
    <row r="344" spans="1:10" ht="24" x14ac:dyDescent="0.25">
      <c r="A344" s="115">
        <v>287</v>
      </c>
      <c r="B344" s="139" t="s">
        <v>587</v>
      </c>
      <c r="C344" s="140" t="s">
        <v>1386</v>
      </c>
      <c r="D344" s="56">
        <v>42507</v>
      </c>
      <c r="E344" s="56">
        <v>43100</v>
      </c>
      <c r="F344" s="8">
        <v>90000</v>
      </c>
      <c r="G344" s="8">
        <v>112500</v>
      </c>
      <c r="H344" s="129" t="s">
        <v>1100</v>
      </c>
      <c r="I344" s="55">
        <v>29077.01</v>
      </c>
      <c r="J344" s="1"/>
    </row>
    <row r="345" spans="1:10" ht="24" x14ac:dyDescent="0.25">
      <c r="A345" s="115">
        <v>288</v>
      </c>
      <c r="B345" s="139" t="s">
        <v>832</v>
      </c>
      <c r="C345" s="140" t="s">
        <v>1387</v>
      </c>
      <c r="D345" s="56">
        <v>42464</v>
      </c>
      <c r="E345" s="56">
        <v>42872</v>
      </c>
      <c r="F345" s="8">
        <v>1120</v>
      </c>
      <c r="G345" s="8">
        <v>1120</v>
      </c>
      <c r="H345" s="129" t="s">
        <v>1100</v>
      </c>
      <c r="I345" s="55">
        <v>422.5</v>
      </c>
      <c r="J345" s="1"/>
    </row>
    <row r="346" spans="1:10" ht="24" x14ac:dyDescent="0.25">
      <c r="A346" s="115">
        <v>289</v>
      </c>
      <c r="B346" s="139" t="s">
        <v>515</v>
      </c>
      <c r="C346" s="140" t="s">
        <v>1388</v>
      </c>
      <c r="D346" s="56">
        <v>42508</v>
      </c>
      <c r="E346" s="56">
        <v>42873</v>
      </c>
      <c r="F346" s="8">
        <v>3072</v>
      </c>
      <c r="G346" s="8">
        <v>3840</v>
      </c>
      <c r="H346" s="129" t="s">
        <v>1102</v>
      </c>
      <c r="I346" s="55">
        <v>3900</v>
      </c>
      <c r="J346" s="1"/>
    </row>
    <row r="347" spans="1:10" ht="24" x14ac:dyDescent="0.25">
      <c r="A347" s="115">
        <v>290</v>
      </c>
      <c r="B347" s="139" t="s">
        <v>818</v>
      </c>
      <c r="C347" s="140" t="s">
        <v>1389</v>
      </c>
      <c r="D347" s="56">
        <v>42845</v>
      </c>
      <c r="E347" s="56">
        <v>42872</v>
      </c>
      <c r="F347" s="8">
        <v>0</v>
      </c>
      <c r="G347" s="8">
        <v>0</v>
      </c>
      <c r="H347" s="129" t="s">
        <v>1100</v>
      </c>
      <c r="I347" s="55">
        <v>9028</v>
      </c>
      <c r="J347" s="1"/>
    </row>
    <row r="348" spans="1:10" ht="24" x14ac:dyDescent="0.25">
      <c r="A348" s="115">
        <v>291</v>
      </c>
      <c r="B348" s="139" t="s">
        <v>682</v>
      </c>
      <c r="C348" s="140" t="s">
        <v>1390</v>
      </c>
      <c r="D348" s="56">
        <v>42506</v>
      </c>
      <c r="E348" s="56">
        <v>42871</v>
      </c>
      <c r="F348" s="8">
        <v>14320</v>
      </c>
      <c r="G348" s="8">
        <v>17900</v>
      </c>
      <c r="H348" s="129" t="s">
        <v>1495</v>
      </c>
      <c r="I348" s="55">
        <v>2010.42</v>
      </c>
      <c r="J348" s="1"/>
    </row>
    <row r="349" spans="1:10" ht="24" x14ac:dyDescent="0.25">
      <c r="A349" s="115">
        <v>292</v>
      </c>
      <c r="B349" s="139" t="s">
        <v>672</v>
      </c>
      <c r="C349" s="140" t="s">
        <v>1391</v>
      </c>
      <c r="D349" s="56">
        <v>42503</v>
      </c>
      <c r="E349" s="56">
        <v>42867</v>
      </c>
      <c r="F349" s="8">
        <v>5568</v>
      </c>
      <c r="G349" s="8">
        <v>6960</v>
      </c>
      <c r="H349" s="129" t="s">
        <v>1496</v>
      </c>
      <c r="I349" s="55">
        <v>1289.94</v>
      </c>
      <c r="J349" s="1"/>
    </row>
    <row r="350" spans="1:10" ht="24" x14ac:dyDescent="0.25">
      <c r="A350" s="115">
        <v>293</v>
      </c>
      <c r="B350" s="139" t="s">
        <v>867</v>
      </c>
      <c r="C350" s="140" t="s">
        <v>1392</v>
      </c>
      <c r="D350" s="56">
        <v>42503</v>
      </c>
      <c r="E350" s="56">
        <v>42868</v>
      </c>
      <c r="F350" s="8">
        <v>8000</v>
      </c>
      <c r="G350" s="8">
        <v>10000</v>
      </c>
      <c r="H350" s="129" t="s">
        <v>1105</v>
      </c>
      <c r="I350" s="55">
        <v>3099.95</v>
      </c>
      <c r="J350" s="1"/>
    </row>
    <row r="351" spans="1:10" ht="36" x14ac:dyDescent="0.25">
      <c r="A351" s="115">
        <v>294</v>
      </c>
      <c r="B351" s="139" t="s">
        <v>488</v>
      </c>
      <c r="C351" s="140" t="s">
        <v>1393</v>
      </c>
      <c r="D351" s="56">
        <v>42501</v>
      </c>
      <c r="E351" s="56">
        <v>43100</v>
      </c>
      <c r="F351" s="8">
        <v>7000</v>
      </c>
      <c r="G351" s="8">
        <v>8750</v>
      </c>
      <c r="H351" s="129" t="s">
        <v>1100</v>
      </c>
      <c r="I351" s="55">
        <v>10464.6</v>
      </c>
      <c r="J351" s="1"/>
    </row>
    <row r="352" spans="1:10" ht="36" x14ac:dyDescent="0.25">
      <c r="A352" s="115">
        <v>295</v>
      </c>
      <c r="B352" s="139" t="s">
        <v>840</v>
      </c>
      <c r="C352" s="140" t="s">
        <v>1394</v>
      </c>
      <c r="D352" s="56">
        <v>42500</v>
      </c>
      <c r="E352" s="56">
        <v>42865</v>
      </c>
      <c r="F352" s="8">
        <v>44000</v>
      </c>
      <c r="G352" s="8">
        <v>55000</v>
      </c>
      <c r="H352" s="129" t="s">
        <v>1492</v>
      </c>
      <c r="I352" s="55">
        <v>17447.919999999998</v>
      </c>
      <c r="J352" s="1"/>
    </row>
    <row r="353" spans="1:10" ht="24" x14ac:dyDescent="0.25">
      <c r="A353" s="115">
        <v>296</v>
      </c>
      <c r="B353" s="139" t="s">
        <v>613</v>
      </c>
      <c r="C353" s="140" t="s">
        <v>1395</v>
      </c>
      <c r="D353" s="56">
        <v>42493</v>
      </c>
      <c r="E353" s="56">
        <v>43100</v>
      </c>
      <c r="F353" s="8">
        <v>0</v>
      </c>
      <c r="G353" s="8">
        <v>0</v>
      </c>
      <c r="H353" s="129" t="s">
        <v>1100</v>
      </c>
      <c r="I353" s="55">
        <v>105585.11</v>
      </c>
      <c r="J353" s="1"/>
    </row>
    <row r="354" spans="1:10" ht="24" x14ac:dyDescent="0.25">
      <c r="A354" s="115">
        <v>297</v>
      </c>
      <c r="B354" s="139" t="s">
        <v>605</v>
      </c>
      <c r="C354" s="140" t="s">
        <v>1396</v>
      </c>
      <c r="D354" s="56">
        <v>42664</v>
      </c>
      <c r="E354" s="56">
        <v>43100</v>
      </c>
      <c r="F354" s="8">
        <v>11600</v>
      </c>
      <c r="G354" s="8">
        <v>14500</v>
      </c>
      <c r="H354" s="129" t="s">
        <v>1100</v>
      </c>
      <c r="I354" s="55">
        <v>10407.39</v>
      </c>
      <c r="J354" s="1"/>
    </row>
    <row r="355" spans="1:10" ht="24" x14ac:dyDescent="0.25">
      <c r="A355" s="115">
        <v>298</v>
      </c>
      <c r="B355" s="139" t="s">
        <v>821</v>
      </c>
      <c r="C355" s="140" t="s">
        <v>1397</v>
      </c>
      <c r="D355" s="56">
        <v>42488</v>
      </c>
      <c r="E355" s="56">
        <v>42852</v>
      </c>
      <c r="F355" s="8">
        <v>3600</v>
      </c>
      <c r="G355" s="8">
        <v>4500</v>
      </c>
      <c r="H355" s="129" t="s">
        <v>1497</v>
      </c>
      <c r="I355" s="55">
        <v>1668.85</v>
      </c>
      <c r="J355" s="1"/>
    </row>
    <row r="356" spans="1:10" ht="24" x14ac:dyDescent="0.25">
      <c r="A356" s="115">
        <v>299</v>
      </c>
      <c r="B356" s="139" t="s">
        <v>826</v>
      </c>
      <c r="C356" s="140" t="s">
        <v>1398</v>
      </c>
      <c r="D356" s="56">
        <v>42487</v>
      </c>
      <c r="E356" s="56">
        <v>42851</v>
      </c>
      <c r="F356" s="8">
        <v>384</v>
      </c>
      <c r="G356" s="8">
        <v>480</v>
      </c>
      <c r="H356" s="129" t="s">
        <v>1497</v>
      </c>
      <c r="I356" s="55">
        <v>645.88</v>
      </c>
      <c r="J356" s="1"/>
    </row>
    <row r="357" spans="1:10" ht="24" x14ac:dyDescent="0.25">
      <c r="A357" s="115">
        <v>300</v>
      </c>
      <c r="B357" s="139" t="s">
        <v>486</v>
      </c>
      <c r="C357" s="140" t="s">
        <v>1399</v>
      </c>
      <c r="D357" s="56">
        <v>42486</v>
      </c>
      <c r="E357" s="56">
        <v>43100</v>
      </c>
      <c r="F357" s="8">
        <v>21000</v>
      </c>
      <c r="G357" s="8">
        <v>26250</v>
      </c>
      <c r="H357" s="129" t="s">
        <v>1102</v>
      </c>
      <c r="I357" s="55">
        <v>12455.38</v>
      </c>
      <c r="J357" s="1"/>
    </row>
    <row r="358" spans="1:10" ht="24" x14ac:dyDescent="0.25">
      <c r="A358" s="115">
        <v>301</v>
      </c>
      <c r="B358" s="139" t="s">
        <v>596</v>
      </c>
      <c r="C358" s="140" t="s">
        <v>1400</v>
      </c>
      <c r="D358" s="56">
        <v>42486</v>
      </c>
      <c r="E358" s="56">
        <v>42847</v>
      </c>
      <c r="F358" s="8">
        <v>33539.07</v>
      </c>
      <c r="G358" s="8">
        <v>41923.839999999997</v>
      </c>
      <c r="H358" s="129" t="s">
        <v>1498</v>
      </c>
      <c r="I358" s="55">
        <v>2005.41</v>
      </c>
      <c r="J358" s="1"/>
    </row>
    <row r="359" spans="1:10" x14ac:dyDescent="0.25">
      <c r="A359" s="115">
        <v>302</v>
      </c>
      <c r="B359" s="139" t="s">
        <v>492</v>
      </c>
      <c r="C359" s="140" t="s">
        <v>1401</v>
      </c>
      <c r="D359" s="56">
        <v>42482</v>
      </c>
      <c r="E359" s="56">
        <v>42846</v>
      </c>
      <c r="F359" s="8">
        <v>0</v>
      </c>
      <c r="G359" s="8">
        <v>0</v>
      </c>
      <c r="H359" s="129" t="s">
        <v>1100</v>
      </c>
      <c r="I359" s="55">
        <v>4939.54</v>
      </c>
      <c r="J359" s="1"/>
    </row>
    <row r="360" spans="1:10" x14ac:dyDescent="0.25">
      <c r="A360" s="115">
        <v>303</v>
      </c>
      <c r="B360" s="139" t="s">
        <v>715</v>
      </c>
      <c r="C360" s="140" t="s">
        <v>1402</v>
      </c>
      <c r="D360" s="56">
        <v>42482</v>
      </c>
      <c r="E360" s="56">
        <v>42846</v>
      </c>
      <c r="F360" s="8">
        <v>3000</v>
      </c>
      <c r="G360" s="8">
        <v>3750</v>
      </c>
      <c r="H360" s="129" t="s">
        <v>1499</v>
      </c>
      <c r="I360" s="55">
        <v>1136.94</v>
      </c>
      <c r="J360" s="1"/>
    </row>
    <row r="361" spans="1:10" ht="24" x14ac:dyDescent="0.25">
      <c r="A361" s="115">
        <v>304</v>
      </c>
      <c r="B361" s="139" t="s">
        <v>740</v>
      </c>
      <c r="C361" s="140" t="s">
        <v>1403</v>
      </c>
      <c r="D361" s="56">
        <v>42471</v>
      </c>
      <c r="E361" s="56">
        <v>42843</v>
      </c>
      <c r="F361" s="8">
        <v>12000</v>
      </c>
      <c r="G361" s="8">
        <v>15000</v>
      </c>
      <c r="H361" s="129" t="s">
        <v>1499</v>
      </c>
      <c r="I361" s="55">
        <v>2013.9</v>
      </c>
      <c r="J361" s="1"/>
    </row>
    <row r="362" spans="1:10" ht="24" x14ac:dyDescent="0.25">
      <c r="A362" s="115">
        <v>305</v>
      </c>
      <c r="B362" s="139" t="s">
        <v>483</v>
      </c>
      <c r="C362" s="140" t="s">
        <v>1404</v>
      </c>
      <c r="D362" s="56">
        <v>42478</v>
      </c>
      <c r="E362" s="56">
        <v>42842</v>
      </c>
      <c r="F362" s="8">
        <v>0</v>
      </c>
      <c r="G362" s="8">
        <v>0</v>
      </c>
      <c r="H362" s="129" t="s">
        <v>1500</v>
      </c>
      <c r="I362" s="55">
        <v>3703.42</v>
      </c>
      <c r="J362" s="1"/>
    </row>
    <row r="363" spans="1:10" ht="36" x14ac:dyDescent="0.25">
      <c r="A363" s="115">
        <v>306</v>
      </c>
      <c r="B363" s="139" t="s">
        <v>518</v>
      </c>
      <c r="C363" s="140" t="s">
        <v>1405</v>
      </c>
      <c r="D363" s="56">
        <v>42478</v>
      </c>
      <c r="E363" s="56">
        <v>42842</v>
      </c>
      <c r="F363" s="8">
        <v>20592</v>
      </c>
      <c r="G363" s="8">
        <v>25740</v>
      </c>
      <c r="H363" s="129" t="s">
        <v>1100</v>
      </c>
      <c r="I363" s="55">
        <v>2678.86</v>
      </c>
      <c r="J363" s="1"/>
    </row>
    <row r="364" spans="1:10" ht="36" x14ac:dyDescent="0.25">
      <c r="A364" s="115">
        <v>307</v>
      </c>
      <c r="B364" s="139" t="s">
        <v>640</v>
      </c>
      <c r="C364" s="140" t="s">
        <v>1406</v>
      </c>
      <c r="D364" s="56">
        <v>42497</v>
      </c>
      <c r="E364" s="56">
        <v>42863</v>
      </c>
      <c r="F364" s="8">
        <v>0</v>
      </c>
      <c r="G364" s="8">
        <v>0</v>
      </c>
      <c r="H364" s="129" t="s">
        <v>1501</v>
      </c>
      <c r="I364" s="55">
        <v>12328.78</v>
      </c>
      <c r="J364" s="1"/>
    </row>
    <row r="365" spans="1:10" ht="24" x14ac:dyDescent="0.25">
      <c r="A365" s="115">
        <v>308</v>
      </c>
      <c r="B365" s="139" t="s">
        <v>666</v>
      </c>
      <c r="C365" s="140" t="s">
        <v>1407</v>
      </c>
      <c r="D365" s="56">
        <v>42475</v>
      </c>
      <c r="E365" s="56">
        <v>42922</v>
      </c>
      <c r="F365" s="8">
        <v>76555.199999999997</v>
      </c>
      <c r="G365" s="8">
        <v>94444</v>
      </c>
      <c r="H365" s="129" t="s">
        <v>1100</v>
      </c>
      <c r="I365" s="55">
        <v>186163.29</v>
      </c>
      <c r="J365" s="1"/>
    </row>
    <row r="366" spans="1:10" x14ac:dyDescent="0.25">
      <c r="A366" s="115">
        <v>309</v>
      </c>
      <c r="B366" s="139" t="s">
        <v>523</v>
      </c>
      <c r="C366" s="140" t="s">
        <v>1408</v>
      </c>
      <c r="D366" s="56">
        <v>42473</v>
      </c>
      <c r="E366" s="56">
        <v>42838</v>
      </c>
      <c r="F366" s="8">
        <v>124000</v>
      </c>
      <c r="G366" s="8">
        <v>155000</v>
      </c>
      <c r="H366" s="129" t="s">
        <v>1502</v>
      </c>
      <c r="I366" s="55">
        <v>12407.42</v>
      </c>
      <c r="J366" s="1"/>
    </row>
    <row r="367" spans="1:10" ht="36" x14ac:dyDescent="0.25">
      <c r="A367" s="115">
        <v>310</v>
      </c>
      <c r="B367" s="139" t="s">
        <v>635</v>
      </c>
      <c r="C367" s="140" t="s">
        <v>1409</v>
      </c>
      <c r="D367" s="56">
        <v>42471</v>
      </c>
      <c r="E367" s="56">
        <v>42825</v>
      </c>
      <c r="F367" s="8">
        <v>76555.199999999997</v>
      </c>
      <c r="G367" s="8">
        <v>94444</v>
      </c>
      <c r="H367" s="129" t="s">
        <v>1103</v>
      </c>
      <c r="I367" s="55">
        <v>1364.16</v>
      </c>
      <c r="J367" s="1"/>
    </row>
    <row r="368" spans="1:10" ht="24" x14ac:dyDescent="0.25">
      <c r="A368" s="115">
        <v>311</v>
      </c>
      <c r="B368" s="139" t="s">
        <v>734</v>
      </c>
      <c r="C368" s="140" t="s">
        <v>1410</v>
      </c>
      <c r="D368" s="56">
        <v>42464</v>
      </c>
      <c r="E368" s="56">
        <v>42829</v>
      </c>
      <c r="F368" s="8">
        <v>0</v>
      </c>
      <c r="G368" s="8">
        <v>0</v>
      </c>
      <c r="H368" s="129" t="s">
        <v>1503</v>
      </c>
      <c r="I368" s="55">
        <v>1008.75</v>
      </c>
      <c r="J368" s="1"/>
    </row>
    <row r="369" spans="1:10" ht="24" x14ac:dyDescent="0.25">
      <c r="A369" s="115">
        <v>312</v>
      </c>
      <c r="B369" s="139" t="s">
        <v>495</v>
      </c>
      <c r="C369" s="140" t="s">
        <v>1411</v>
      </c>
      <c r="D369" s="56">
        <v>42464</v>
      </c>
      <c r="E369" s="56">
        <v>42828</v>
      </c>
      <c r="F369" s="8">
        <v>60000</v>
      </c>
      <c r="G369" s="8">
        <v>75000</v>
      </c>
      <c r="H369" s="129" t="s">
        <v>1504</v>
      </c>
      <c r="I369" s="55">
        <v>5064.17</v>
      </c>
      <c r="J369" s="1"/>
    </row>
    <row r="370" spans="1:10" ht="24" x14ac:dyDescent="0.25">
      <c r="A370" s="115">
        <v>313</v>
      </c>
      <c r="B370" s="139" t="s">
        <v>909</v>
      </c>
      <c r="C370" s="140" t="s">
        <v>1412</v>
      </c>
      <c r="D370" s="56">
        <v>42458</v>
      </c>
      <c r="E370" s="56">
        <v>42823</v>
      </c>
      <c r="F370" s="8">
        <v>480</v>
      </c>
      <c r="G370" s="8">
        <v>600</v>
      </c>
      <c r="H370" s="129" t="s">
        <v>1100</v>
      </c>
      <c r="I370" s="55">
        <v>744.08</v>
      </c>
      <c r="J370" s="1"/>
    </row>
    <row r="371" spans="1:10" ht="36" x14ac:dyDescent="0.25">
      <c r="A371" s="115">
        <v>314</v>
      </c>
      <c r="B371" s="139" t="s">
        <v>601</v>
      </c>
      <c r="C371" s="140" t="s">
        <v>1413</v>
      </c>
      <c r="D371" s="56">
        <v>42461</v>
      </c>
      <c r="E371" s="56">
        <v>42794</v>
      </c>
      <c r="F371" s="8">
        <v>108000</v>
      </c>
      <c r="G371" s="8">
        <v>135000</v>
      </c>
      <c r="H371" s="129" t="s">
        <v>1505</v>
      </c>
      <c r="I371" s="55">
        <v>14752.83</v>
      </c>
      <c r="J371" s="1"/>
    </row>
    <row r="372" spans="1:10" ht="24" x14ac:dyDescent="0.25">
      <c r="A372" s="115">
        <v>315</v>
      </c>
      <c r="B372" s="139" t="s">
        <v>673</v>
      </c>
      <c r="C372" s="140" t="s">
        <v>1414</v>
      </c>
      <c r="D372" s="56">
        <v>42461</v>
      </c>
      <c r="E372" s="56">
        <v>42825</v>
      </c>
      <c r="F372" s="8">
        <v>5800</v>
      </c>
      <c r="G372" s="8">
        <v>7250</v>
      </c>
      <c r="H372" s="129" t="s">
        <v>1103</v>
      </c>
      <c r="I372" s="55">
        <v>1441.52</v>
      </c>
      <c r="J372" s="1"/>
    </row>
    <row r="373" spans="1:10" x14ac:dyDescent="0.25">
      <c r="A373" s="115">
        <v>316</v>
      </c>
      <c r="B373" s="139" t="s">
        <v>709</v>
      </c>
      <c r="C373" s="140" t="s">
        <v>1415</v>
      </c>
      <c r="D373" s="56">
        <v>42460</v>
      </c>
      <c r="E373" s="56">
        <v>42825</v>
      </c>
      <c r="F373" s="8">
        <v>0</v>
      </c>
      <c r="G373" s="8">
        <v>0</v>
      </c>
      <c r="H373" s="129" t="s">
        <v>1103</v>
      </c>
      <c r="I373" s="55">
        <v>516.9</v>
      </c>
      <c r="J373" s="1"/>
    </row>
    <row r="374" spans="1:10" ht="24" x14ac:dyDescent="0.25">
      <c r="A374" s="115">
        <v>317</v>
      </c>
      <c r="B374" s="139" t="s">
        <v>526</v>
      </c>
      <c r="C374" s="140" t="s">
        <v>1416</v>
      </c>
      <c r="D374" s="56">
        <v>42461</v>
      </c>
      <c r="E374" s="56">
        <v>42826</v>
      </c>
      <c r="F374" s="8">
        <v>0</v>
      </c>
      <c r="G374" s="8">
        <v>0</v>
      </c>
      <c r="H374" s="129" t="s">
        <v>1506</v>
      </c>
      <c r="I374" s="55">
        <v>234.31</v>
      </c>
      <c r="J374" s="1"/>
    </row>
    <row r="375" spans="1:10" ht="36" x14ac:dyDescent="0.25">
      <c r="A375" s="115">
        <v>318</v>
      </c>
      <c r="B375" s="139" t="s">
        <v>708</v>
      </c>
      <c r="C375" s="140" t="s">
        <v>1417</v>
      </c>
      <c r="D375" s="56">
        <v>42461</v>
      </c>
      <c r="E375" s="56">
        <v>42856</v>
      </c>
      <c r="F375" s="8">
        <v>76555</v>
      </c>
      <c r="G375" s="8">
        <v>95693.75</v>
      </c>
      <c r="H375" s="129" t="s">
        <v>1100</v>
      </c>
      <c r="I375" s="55">
        <v>5841.92</v>
      </c>
      <c r="J375" s="1"/>
    </row>
    <row r="376" spans="1:10" ht="24" x14ac:dyDescent="0.25">
      <c r="A376" s="115">
        <v>319</v>
      </c>
      <c r="B376" s="139" t="s">
        <v>792</v>
      </c>
      <c r="C376" s="140" t="s">
        <v>1418</v>
      </c>
      <c r="D376" s="56">
        <v>42438</v>
      </c>
      <c r="E376" s="56">
        <v>42825</v>
      </c>
      <c r="F376" s="8">
        <v>5520</v>
      </c>
      <c r="G376" s="8">
        <v>6900</v>
      </c>
      <c r="H376" s="129" t="s">
        <v>1100</v>
      </c>
      <c r="I376" s="55">
        <v>1002.71</v>
      </c>
      <c r="J376" s="1"/>
    </row>
    <row r="377" spans="1:10" ht="24" x14ac:dyDescent="0.25">
      <c r="A377" s="115">
        <v>320</v>
      </c>
      <c r="B377" s="139" t="s">
        <v>660</v>
      </c>
      <c r="C377" s="140" t="s">
        <v>1419</v>
      </c>
      <c r="D377" s="56">
        <v>42459</v>
      </c>
      <c r="E377" s="56">
        <v>43100</v>
      </c>
      <c r="F377" s="8">
        <v>18160</v>
      </c>
      <c r="G377" s="8">
        <v>22700</v>
      </c>
      <c r="H377" s="129" t="s">
        <v>1100</v>
      </c>
      <c r="I377" s="55">
        <v>9387.41</v>
      </c>
      <c r="J377" s="1"/>
    </row>
    <row r="378" spans="1:10" ht="24" x14ac:dyDescent="0.25">
      <c r="A378" s="115">
        <v>321</v>
      </c>
      <c r="B378" s="139" t="s">
        <v>925</v>
      </c>
      <c r="C378" s="140" t="s">
        <v>1420</v>
      </c>
      <c r="D378" s="56">
        <v>42460</v>
      </c>
      <c r="E378" s="56">
        <v>43100</v>
      </c>
      <c r="F378" s="8">
        <v>840.28</v>
      </c>
      <c r="G378" s="8">
        <v>1050.3499999999999</v>
      </c>
      <c r="H378" s="129" t="s">
        <v>1100</v>
      </c>
      <c r="I378" s="55">
        <v>1080.5999999999999</v>
      </c>
      <c r="J378" s="1"/>
    </row>
    <row r="379" spans="1:10" ht="24" x14ac:dyDescent="0.25">
      <c r="A379" s="115">
        <v>322</v>
      </c>
      <c r="B379" s="139" t="s">
        <v>852</v>
      </c>
      <c r="C379" s="140" t="s">
        <v>1421</v>
      </c>
      <c r="D379" s="56">
        <v>42460</v>
      </c>
      <c r="E379" s="56">
        <v>42825</v>
      </c>
      <c r="F379" s="8">
        <v>4969.6000000000004</v>
      </c>
      <c r="G379" s="8">
        <v>6212</v>
      </c>
      <c r="H379" s="129" t="s">
        <v>1105</v>
      </c>
      <c r="I379" s="55">
        <v>1570.36</v>
      </c>
      <c r="J379" s="1"/>
    </row>
    <row r="380" spans="1:10" ht="36" x14ac:dyDescent="0.25">
      <c r="A380" s="115">
        <v>323</v>
      </c>
      <c r="B380" s="139" t="s">
        <v>805</v>
      </c>
      <c r="C380" s="140" t="s">
        <v>1422</v>
      </c>
      <c r="D380" s="56">
        <v>42458</v>
      </c>
      <c r="E380" s="56">
        <v>42822</v>
      </c>
      <c r="F380" s="8">
        <v>10000</v>
      </c>
      <c r="G380" s="8">
        <v>12500</v>
      </c>
      <c r="H380" s="129" t="s">
        <v>1103</v>
      </c>
      <c r="I380" s="55">
        <v>1511.41</v>
      </c>
      <c r="J380" s="1"/>
    </row>
    <row r="381" spans="1:10" ht="24" x14ac:dyDescent="0.25">
      <c r="A381" s="115">
        <v>324</v>
      </c>
      <c r="B381" s="139" t="s">
        <v>763</v>
      </c>
      <c r="C381" s="140" t="s">
        <v>1423</v>
      </c>
      <c r="D381" s="56">
        <v>42458</v>
      </c>
      <c r="E381" s="56">
        <v>42822</v>
      </c>
      <c r="F381" s="8">
        <v>20000</v>
      </c>
      <c r="G381" s="8">
        <v>25000</v>
      </c>
      <c r="H381" s="129" t="s">
        <v>1103</v>
      </c>
      <c r="I381" s="55">
        <v>4689.6099999999997</v>
      </c>
      <c r="J381" s="1"/>
    </row>
    <row r="382" spans="1:10" ht="24" x14ac:dyDescent="0.25">
      <c r="A382" s="115">
        <v>325</v>
      </c>
      <c r="B382" s="139" t="s">
        <v>966</v>
      </c>
      <c r="C382" s="140" t="s">
        <v>1424</v>
      </c>
      <c r="D382" s="56">
        <v>42458</v>
      </c>
      <c r="E382" s="56">
        <v>43188</v>
      </c>
      <c r="F382" s="8">
        <v>20945502.719999999</v>
      </c>
      <c r="G382" s="8">
        <v>26181878.399999999</v>
      </c>
      <c r="H382" s="129" t="s">
        <v>1100</v>
      </c>
      <c r="I382" s="55">
        <v>2568.4899999999998</v>
      </c>
      <c r="J382" s="1"/>
    </row>
    <row r="383" spans="1:10" ht="36" x14ac:dyDescent="0.25">
      <c r="A383" s="115">
        <v>326</v>
      </c>
      <c r="B383" s="139" t="s">
        <v>726</v>
      </c>
      <c r="C383" s="140" t="s">
        <v>1425</v>
      </c>
      <c r="D383" s="56">
        <v>42458</v>
      </c>
      <c r="E383" s="56">
        <v>42822</v>
      </c>
      <c r="F383" s="8">
        <v>0</v>
      </c>
      <c r="G383" s="8">
        <v>0</v>
      </c>
      <c r="H383" s="129" t="s">
        <v>1105</v>
      </c>
      <c r="I383" s="55">
        <v>2062.02</v>
      </c>
      <c r="J383" s="1"/>
    </row>
    <row r="384" spans="1:10" x14ac:dyDescent="0.25">
      <c r="A384" s="115">
        <v>327</v>
      </c>
      <c r="B384" s="139" t="s">
        <v>912</v>
      </c>
      <c r="C384" s="140" t="s">
        <v>1426</v>
      </c>
      <c r="D384" s="56">
        <v>42458</v>
      </c>
      <c r="E384" s="56">
        <v>42822</v>
      </c>
      <c r="F384" s="8">
        <v>876</v>
      </c>
      <c r="G384" s="8">
        <v>1095</v>
      </c>
      <c r="H384" s="129" t="s">
        <v>1102</v>
      </c>
      <c r="I384" s="55">
        <v>120</v>
      </c>
      <c r="J384" s="1"/>
    </row>
    <row r="385" spans="1:10" ht="24" x14ac:dyDescent="0.25">
      <c r="A385" s="115">
        <v>328</v>
      </c>
      <c r="B385" s="139" t="s">
        <v>958</v>
      </c>
      <c r="C385" s="140" t="s">
        <v>1238</v>
      </c>
      <c r="D385" s="56">
        <v>42458</v>
      </c>
      <c r="E385" s="56">
        <v>42822</v>
      </c>
      <c r="F385" s="8">
        <v>1600</v>
      </c>
      <c r="G385" s="8">
        <v>2000</v>
      </c>
      <c r="H385" s="129" t="s">
        <v>1103</v>
      </c>
      <c r="I385" s="55">
        <v>176.25</v>
      </c>
      <c r="J385" s="1"/>
    </row>
    <row r="386" spans="1:10" ht="36" x14ac:dyDescent="0.25">
      <c r="A386" s="115">
        <v>329</v>
      </c>
      <c r="B386" s="139" t="s">
        <v>476</v>
      </c>
      <c r="C386" s="140" t="s">
        <v>1427</v>
      </c>
      <c r="D386" s="56">
        <v>42458</v>
      </c>
      <c r="E386" s="56">
        <v>42822</v>
      </c>
      <c r="F386" s="8">
        <v>57216</v>
      </c>
      <c r="G386" s="8">
        <v>71520</v>
      </c>
      <c r="H386" s="129" t="s">
        <v>1103</v>
      </c>
      <c r="I386" s="55">
        <v>7147</v>
      </c>
      <c r="J386" s="1"/>
    </row>
    <row r="387" spans="1:10" x14ac:dyDescent="0.25">
      <c r="A387" s="115">
        <v>330</v>
      </c>
      <c r="B387" s="139" t="s">
        <v>910</v>
      </c>
      <c r="C387" s="140" t="s">
        <v>1152</v>
      </c>
      <c r="D387" s="56">
        <v>42452</v>
      </c>
      <c r="E387" s="56">
        <v>43100</v>
      </c>
      <c r="F387" s="8">
        <v>47000</v>
      </c>
      <c r="G387" s="8">
        <v>58750</v>
      </c>
      <c r="H387" s="129" t="s">
        <v>1100</v>
      </c>
      <c r="I387" s="55">
        <v>23513.3</v>
      </c>
      <c r="J387" s="1"/>
    </row>
    <row r="388" spans="1:10" ht="36" x14ac:dyDescent="0.25">
      <c r="A388" s="115">
        <v>331</v>
      </c>
      <c r="B388" s="139" t="s">
        <v>598</v>
      </c>
      <c r="C388" s="140" t="s">
        <v>1428</v>
      </c>
      <c r="D388" s="56">
        <v>42438</v>
      </c>
      <c r="E388" s="56">
        <v>42817</v>
      </c>
      <c r="F388" s="8">
        <v>16000</v>
      </c>
      <c r="G388" s="8">
        <v>20000</v>
      </c>
      <c r="H388" s="129" t="s">
        <v>1103</v>
      </c>
      <c r="I388" s="55">
        <v>1510.2</v>
      </c>
      <c r="J388" s="1"/>
    </row>
    <row r="389" spans="1:10" ht="24" x14ac:dyDescent="0.25">
      <c r="A389" s="115">
        <v>332</v>
      </c>
      <c r="B389" s="139" t="s">
        <v>879</v>
      </c>
      <c r="C389" s="140" t="s">
        <v>1429</v>
      </c>
      <c r="D389" s="56">
        <v>42449</v>
      </c>
      <c r="E389" s="56">
        <v>42814</v>
      </c>
      <c r="F389" s="8">
        <v>0</v>
      </c>
      <c r="G389" s="8">
        <v>0</v>
      </c>
      <c r="H389" s="129" t="s">
        <v>1105</v>
      </c>
      <c r="I389" s="55">
        <v>623.02</v>
      </c>
      <c r="J389" s="1"/>
    </row>
    <row r="390" spans="1:10" ht="24" x14ac:dyDescent="0.25">
      <c r="A390" s="115">
        <v>333</v>
      </c>
      <c r="B390" s="139" t="s">
        <v>804</v>
      </c>
      <c r="C390" s="140" t="s">
        <v>1430</v>
      </c>
      <c r="D390" s="56">
        <v>42440</v>
      </c>
      <c r="E390" s="56">
        <v>43100</v>
      </c>
      <c r="F390" s="8">
        <v>4000</v>
      </c>
      <c r="G390" s="8">
        <v>5000</v>
      </c>
      <c r="H390" s="129" t="s">
        <v>1100</v>
      </c>
      <c r="I390" s="55">
        <v>3369.48</v>
      </c>
      <c r="J390" s="1"/>
    </row>
    <row r="391" spans="1:10" x14ac:dyDescent="0.25">
      <c r="A391" s="115">
        <v>334</v>
      </c>
      <c r="B391" s="139" t="s">
        <v>902</v>
      </c>
      <c r="C391" s="140" t="s">
        <v>1431</v>
      </c>
      <c r="D391" s="56">
        <v>42438</v>
      </c>
      <c r="E391" s="56">
        <v>42803</v>
      </c>
      <c r="F391" s="8">
        <v>953.58</v>
      </c>
      <c r="G391" s="8">
        <v>1191.98</v>
      </c>
      <c r="H391" s="129" t="s">
        <v>1102</v>
      </c>
      <c r="I391" s="55">
        <v>2901.71</v>
      </c>
      <c r="J391" s="1"/>
    </row>
    <row r="392" spans="1:10" ht="24" x14ac:dyDescent="0.25">
      <c r="A392" s="115">
        <v>335</v>
      </c>
      <c r="B392" s="139" t="s">
        <v>667</v>
      </c>
      <c r="C392" s="140" t="s">
        <v>1432</v>
      </c>
      <c r="D392" s="56">
        <v>42438</v>
      </c>
      <c r="E392" s="56">
        <v>42803</v>
      </c>
      <c r="F392" s="8">
        <v>4000</v>
      </c>
      <c r="G392" s="8">
        <v>5000</v>
      </c>
      <c r="H392" s="129" t="s">
        <v>1103</v>
      </c>
      <c r="I392" s="55">
        <v>548.4</v>
      </c>
      <c r="J392" s="1"/>
    </row>
    <row r="393" spans="1:10" ht="24" x14ac:dyDescent="0.25">
      <c r="A393" s="115">
        <v>336</v>
      </c>
      <c r="B393" s="139" t="s">
        <v>773</v>
      </c>
      <c r="C393" s="140" t="s">
        <v>1433</v>
      </c>
      <c r="D393" s="56">
        <v>42438</v>
      </c>
      <c r="E393" s="56">
        <v>42833</v>
      </c>
      <c r="F393" s="8">
        <v>6000</v>
      </c>
      <c r="G393" s="8">
        <v>7500</v>
      </c>
      <c r="H393" s="129" t="s">
        <v>1100</v>
      </c>
      <c r="I393" s="55">
        <v>3486.61</v>
      </c>
      <c r="J393" s="1"/>
    </row>
    <row r="394" spans="1:10" ht="24" x14ac:dyDescent="0.25">
      <c r="A394" s="115">
        <v>337</v>
      </c>
      <c r="B394" s="139" t="s">
        <v>510</v>
      </c>
      <c r="C394" s="140" t="s">
        <v>1434</v>
      </c>
      <c r="D394" s="56">
        <v>42438</v>
      </c>
      <c r="E394" s="56">
        <v>42803</v>
      </c>
      <c r="F394" s="8">
        <v>2172.1999999999998</v>
      </c>
      <c r="G394" s="8">
        <v>2670.25</v>
      </c>
      <c r="H394" s="129" t="s">
        <v>1103</v>
      </c>
      <c r="I394" s="55">
        <v>200.35</v>
      </c>
      <c r="J394" s="1"/>
    </row>
    <row r="395" spans="1:10" ht="24" x14ac:dyDescent="0.25">
      <c r="A395" s="115">
        <v>338</v>
      </c>
      <c r="B395" s="139" t="s">
        <v>609</v>
      </c>
      <c r="C395" s="140" t="s">
        <v>1435</v>
      </c>
      <c r="D395" s="56">
        <v>42438</v>
      </c>
      <c r="E395" s="56">
        <v>42802</v>
      </c>
      <c r="F395" s="8">
        <v>7500</v>
      </c>
      <c r="G395" s="8">
        <v>7500</v>
      </c>
      <c r="H395" s="129" t="s">
        <v>1103</v>
      </c>
      <c r="I395" s="55">
        <v>61.39</v>
      </c>
      <c r="J395" s="1"/>
    </row>
    <row r="396" spans="1:10" ht="24" x14ac:dyDescent="0.25">
      <c r="A396" s="115">
        <v>339</v>
      </c>
      <c r="B396" s="139" t="s">
        <v>697</v>
      </c>
      <c r="C396" s="140" t="s">
        <v>1436</v>
      </c>
      <c r="D396" s="56">
        <v>42438</v>
      </c>
      <c r="E396" s="56">
        <v>42803</v>
      </c>
      <c r="F396" s="8">
        <v>0</v>
      </c>
      <c r="G396" s="8">
        <v>0</v>
      </c>
      <c r="H396" s="129" t="s">
        <v>1100</v>
      </c>
      <c r="I396" s="55">
        <v>7079.65</v>
      </c>
      <c r="J396" s="1"/>
    </row>
    <row r="397" spans="1:10" ht="24" x14ac:dyDescent="0.25">
      <c r="A397" s="115">
        <v>340</v>
      </c>
      <c r="B397" s="139" t="s">
        <v>967</v>
      </c>
      <c r="C397" s="140" t="s">
        <v>1437</v>
      </c>
      <c r="D397" s="56">
        <v>42438</v>
      </c>
      <c r="E397" s="56">
        <v>42803</v>
      </c>
      <c r="F397" s="8">
        <v>7200</v>
      </c>
      <c r="G397" s="8">
        <v>9000</v>
      </c>
      <c r="H397" s="129" t="s">
        <v>1100</v>
      </c>
      <c r="I397" s="55">
        <v>12180.09</v>
      </c>
      <c r="J397" s="1"/>
    </row>
    <row r="398" spans="1:10" ht="24" x14ac:dyDescent="0.25">
      <c r="A398" s="115">
        <v>341</v>
      </c>
      <c r="B398" s="139" t="s">
        <v>546</v>
      </c>
      <c r="C398" s="140" t="s">
        <v>1438</v>
      </c>
      <c r="D398" s="56">
        <v>42438</v>
      </c>
      <c r="E398" s="56">
        <v>42803</v>
      </c>
      <c r="F398" s="8">
        <v>29600</v>
      </c>
      <c r="G398" s="8">
        <v>37000</v>
      </c>
      <c r="H398" s="129" t="s">
        <v>1100</v>
      </c>
      <c r="I398" s="55">
        <v>23140.32</v>
      </c>
      <c r="J398" s="1"/>
    </row>
    <row r="399" spans="1:10" ht="24" x14ac:dyDescent="0.25">
      <c r="A399" s="115">
        <v>342</v>
      </c>
      <c r="B399" s="139" t="s">
        <v>797</v>
      </c>
      <c r="C399" s="140" t="s">
        <v>1439</v>
      </c>
      <c r="D399" s="56">
        <v>42438</v>
      </c>
      <c r="E399" s="56">
        <v>42803</v>
      </c>
      <c r="F399" s="8">
        <v>0</v>
      </c>
      <c r="G399" s="8">
        <v>0</v>
      </c>
      <c r="H399" s="129" t="s">
        <v>1100</v>
      </c>
      <c r="I399" s="55">
        <v>374.82</v>
      </c>
      <c r="J399" s="1"/>
    </row>
    <row r="400" spans="1:10" ht="24" x14ac:dyDescent="0.25">
      <c r="A400" s="115">
        <v>343</v>
      </c>
      <c r="B400" s="139" t="s">
        <v>968</v>
      </c>
      <c r="C400" s="140" t="s">
        <v>1440</v>
      </c>
      <c r="D400" s="56">
        <v>42438</v>
      </c>
      <c r="E400" s="56">
        <v>42803</v>
      </c>
      <c r="F400" s="8">
        <v>8640</v>
      </c>
      <c r="G400" s="8">
        <v>10800</v>
      </c>
      <c r="H400" s="129" t="s">
        <v>1100</v>
      </c>
      <c r="I400" s="55">
        <v>10056.69</v>
      </c>
      <c r="J400" s="1"/>
    </row>
    <row r="401" spans="1:10" ht="24" x14ac:dyDescent="0.25">
      <c r="A401" s="115">
        <v>344</v>
      </c>
      <c r="B401" s="139" t="s">
        <v>907</v>
      </c>
      <c r="C401" s="140" t="s">
        <v>1441</v>
      </c>
      <c r="D401" s="56">
        <v>42432</v>
      </c>
      <c r="E401" s="56">
        <v>42817</v>
      </c>
      <c r="F401" s="8">
        <v>2800</v>
      </c>
      <c r="G401" s="8">
        <v>3500</v>
      </c>
      <c r="H401" s="129" t="s">
        <v>1103</v>
      </c>
      <c r="I401" s="55">
        <v>165.61</v>
      </c>
      <c r="J401" s="1"/>
    </row>
    <row r="402" spans="1:10" ht="36" x14ac:dyDescent="0.25">
      <c r="A402" s="115">
        <v>345</v>
      </c>
      <c r="B402" s="139" t="s">
        <v>741</v>
      </c>
      <c r="C402" s="140" t="s">
        <v>1442</v>
      </c>
      <c r="D402" s="56">
        <v>42438</v>
      </c>
      <c r="E402" s="56">
        <v>43168</v>
      </c>
      <c r="F402" s="8">
        <v>19999</v>
      </c>
      <c r="G402" s="8">
        <v>24998.75</v>
      </c>
      <c r="H402" s="129" t="s">
        <v>1103</v>
      </c>
      <c r="I402" s="55">
        <v>3983.71</v>
      </c>
      <c r="J402" s="1"/>
    </row>
    <row r="403" spans="1:10" ht="24" x14ac:dyDescent="0.25">
      <c r="A403" s="115">
        <v>346</v>
      </c>
      <c r="B403" s="139" t="s">
        <v>482</v>
      </c>
      <c r="C403" s="140" t="s">
        <v>1443</v>
      </c>
      <c r="D403" s="56">
        <v>42429</v>
      </c>
      <c r="E403" s="56">
        <v>42794</v>
      </c>
      <c r="F403" s="8">
        <v>25000</v>
      </c>
      <c r="G403" s="8">
        <v>31250</v>
      </c>
      <c r="H403" s="129" t="s">
        <v>1507</v>
      </c>
      <c r="I403" s="55">
        <v>1786.44</v>
      </c>
      <c r="J403" s="1"/>
    </row>
    <row r="404" spans="1:10" x14ac:dyDescent="0.25">
      <c r="A404" s="115">
        <v>347</v>
      </c>
      <c r="B404" s="139" t="s">
        <v>17</v>
      </c>
      <c r="C404" s="140" t="s">
        <v>1444</v>
      </c>
      <c r="D404" s="56">
        <v>42429</v>
      </c>
      <c r="E404" s="56">
        <v>42794</v>
      </c>
      <c r="F404" s="8">
        <v>200000</v>
      </c>
      <c r="G404" s="8">
        <v>250000</v>
      </c>
      <c r="H404" s="129" t="s">
        <v>1507</v>
      </c>
      <c r="I404" s="55">
        <v>170220.86</v>
      </c>
      <c r="J404" s="1"/>
    </row>
    <row r="405" spans="1:10" ht="24" x14ac:dyDescent="0.25">
      <c r="A405" s="115">
        <v>348</v>
      </c>
      <c r="B405" s="139" t="s">
        <v>739</v>
      </c>
      <c r="C405" s="140" t="s">
        <v>1445</v>
      </c>
      <c r="D405" s="56">
        <v>42384</v>
      </c>
      <c r="E405" s="56">
        <v>42794</v>
      </c>
      <c r="F405" s="8">
        <v>29600</v>
      </c>
      <c r="G405" s="8">
        <v>37000</v>
      </c>
      <c r="H405" s="129" t="s">
        <v>1103</v>
      </c>
      <c r="I405" s="55">
        <v>1977.5</v>
      </c>
      <c r="J405" s="1"/>
    </row>
    <row r="406" spans="1:10" ht="24" x14ac:dyDescent="0.25">
      <c r="A406" s="115">
        <v>349</v>
      </c>
      <c r="B406" s="139" t="s">
        <v>743</v>
      </c>
      <c r="C406" s="140" t="s">
        <v>1446</v>
      </c>
      <c r="D406" s="56">
        <v>42418</v>
      </c>
      <c r="E406" s="56">
        <v>42783</v>
      </c>
      <c r="F406" s="8">
        <v>9000</v>
      </c>
      <c r="G406" s="8">
        <v>11250</v>
      </c>
      <c r="H406" s="129" t="s">
        <v>1508</v>
      </c>
      <c r="I406" s="55">
        <v>621.94000000000005</v>
      </c>
      <c r="J406" s="1"/>
    </row>
    <row r="407" spans="1:10" ht="24" x14ac:dyDescent="0.25">
      <c r="A407" s="115">
        <v>350</v>
      </c>
      <c r="B407" s="139" t="s">
        <v>850</v>
      </c>
      <c r="C407" s="140" t="s">
        <v>1447</v>
      </c>
      <c r="D407" s="56">
        <v>42430</v>
      </c>
      <c r="E407" s="56">
        <v>42794</v>
      </c>
      <c r="F407" s="8">
        <v>4160</v>
      </c>
      <c r="G407" s="8">
        <v>5200</v>
      </c>
      <c r="H407" s="129" t="s">
        <v>1103</v>
      </c>
      <c r="I407" s="55">
        <v>732.61</v>
      </c>
      <c r="J407" s="1"/>
    </row>
    <row r="408" spans="1:10" ht="36" x14ac:dyDescent="0.25">
      <c r="A408" s="115">
        <v>351</v>
      </c>
      <c r="B408" s="139" t="s">
        <v>711</v>
      </c>
      <c r="C408" s="140" t="s">
        <v>1448</v>
      </c>
      <c r="D408" s="56">
        <v>42412</v>
      </c>
      <c r="E408" s="56">
        <v>42778</v>
      </c>
      <c r="F408" s="8">
        <v>8000</v>
      </c>
      <c r="G408" s="8">
        <v>10000</v>
      </c>
      <c r="H408" s="129" t="s">
        <v>1103</v>
      </c>
      <c r="I408" s="55">
        <v>1222.5999999999999</v>
      </c>
      <c r="J408" s="1"/>
    </row>
    <row r="409" spans="1:10" x14ac:dyDescent="0.25">
      <c r="A409" s="115">
        <v>352</v>
      </c>
      <c r="B409" s="139" t="s">
        <v>586</v>
      </c>
      <c r="C409" s="140" t="s">
        <v>1449</v>
      </c>
      <c r="D409" s="56">
        <v>42401</v>
      </c>
      <c r="E409" s="56">
        <v>42767</v>
      </c>
      <c r="F409" s="8">
        <v>9600</v>
      </c>
      <c r="G409" s="8">
        <v>12000</v>
      </c>
      <c r="H409" s="129" t="s">
        <v>1103</v>
      </c>
      <c r="I409" s="55">
        <v>22197.599999999999</v>
      </c>
      <c r="J409" s="1"/>
    </row>
    <row r="410" spans="1:10" ht="24" x14ac:dyDescent="0.25">
      <c r="A410" s="115">
        <v>353</v>
      </c>
      <c r="B410" s="139" t="s">
        <v>540</v>
      </c>
      <c r="C410" s="140" t="s">
        <v>1450</v>
      </c>
      <c r="D410" s="56">
        <v>42488</v>
      </c>
      <c r="E410" s="56">
        <v>42767</v>
      </c>
      <c r="F410" s="8">
        <v>156654.75</v>
      </c>
      <c r="G410" s="8">
        <v>195818.44</v>
      </c>
      <c r="H410" s="129" t="s">
        <v>1102</v>
      </c>
      <c r="I410" s="55">
        <v>101516.2</v>
      </c>
      <c r="J410" s="1"/>
    </row>
    <row r="411" spans="1:10" ht="24" x14ac:dyDescent="0.25">
      <c r="A411" s="115">
        <v>354</v>
      </c>
      <c r="B411" s="139" t="s">
        <v>491</v>
      </c>
      <c r="C411" s="140" t="s">
        <v>1451</v>
      </c>
      <c r="D411" s="56">
        <v>42401</v>
      </c>
      <c r="E411" s="56">
        <v>42766</v>
      </c>
      <c r="F411" s="8">
        <v>0</v>
      </c>
      <c r="G411" s="8">
        <v>0</v>
      </c>
      <c r="H411" s="129" t="s">
        <v>1509</v>
      </c>
      <c r="I411" s="55">
        <v>0</v>
      </c>
      <c r="J411" s="1"/>
    </row>
    <row r="412" spans="1:10" ht="24" x14ac:dyDescent="0.25">
      <c r="A412" s="115">
        <v>355</v>
      </c>
      <c r="B412" s="139" t="s">
        <v>725</v>
      </c>
      <c r="C412" s="140" t="s">
        <v>1452</v>
      </c>
      <c r="D412" s="56">
        <v>42401</v>
      </c>
      <c r="E412" s="56">
        <v>42767</v>
      </c>
      <c r="F412" s="8">
        <v>1920</v>
      </c>
      <c r="G412" s="8">
        <v>2400</v>
      </c>
      <c r="H412" s="129" t="s">
        <v>1510</v>
      </c>
      <c r="I412" s="55">
        <v>150.38999999999999</v>
      </c>
      <c r="J412" s="1"/>
    </row>
    <row r="413" spans="1:10" ht="24" x14ac:dyDescent="0.25">
      <c r="A413" s="115">
        <v>356</v>
      </c>
      <c r="B413" s="139" t="s">
        <v>659</v>
      </c>
      <c r="C413" s="140" t="s">
        <v>1453</v>
      </c>
      <c r="D413" s="56">
        <v>42369</v>
      </c>
      <c r="E413" s="56">
        <v>43100</v>
      </c>
      <c r="F413" s="8">
        <v>0</v>
      </c>
      <c r="G413" s="8">
        <v>0</v>
      </c>
      <c r="H413" s="129" t="s">
        <v>1100</v>
      </c>
      <c r="I413" s="55">
        <v>51587.199999999997</v>
      </c>
      <c r="J413" s="1"/>
    </row>
    <row r="414" spans="1:10" ht="24" x14ac:dyDescent="0.25">
      <c r="A414" s="115">
        <v>357</v>
      </c>
      <c r="B414" s="139" t="s">
        <v>571</v>
      </c>
      <c r="C414" s="140" t="s">
        <v>1454</v>
      </c>
      <c r="D414" s="56">
        <v>42369</v>
      </c>
      <c r="E414" s="56">
        <v>43100</v>
      </c>
      <c r="F414" s="8">
        <v>5760</v>
      </c>
      <c r="G414" s="8">
        <v>7200</v>
      </c>
      <c r="H414" s="129" t="s">
        <v>1100</v>
      </c>
      <c r="I414" s="55">
        <v>5117.4399999999996</v>
      </c>
      <c r="J414" s="1"/>
    </row>
    <row r="415" spans="1:10" ht="24" x14ac:dyDescent="0.25">
      <c r="A415" s="115">
        <v>358</v>
      </c>
      <c r="B415" s="139" t="s">
        <v>841</v>
      </c>
      <c r="C415" s="140" t="s">
        <v>1455</v>
      </c>
      <c r="D415" s="56">
        <v>42369</v>
      </c>
      <c r="E415" s="56">
        <v>43100</v>
      </c>
      <c r="F415" s="8">
        <v>6000</v>
      </c>
      <c r="G415" s="8">
        <v>7500</v>
      </c>
      <c r="H415" s="129" t="s">
        <v>1100</v>
      </c>
      <c r="I415" s="55">
        <v>5667.28</v>
      </c>
      <c r="J415" s="1"/>
    </row>
    <row r="416" spans="1:10" ht="36" x14ac:dyDescent="0.25">
      <c r="A416" s="115">
        <v>359</v>
      </c>
      <c r="B416" s="139" t="s">
        <v>919</v>
      </c>
      <c r="C416" s="140" t="s">
        <v>1456</v>
      </c>
      <c r="D416" s="56">
        <v>42369</v>
      </c>
      <c r="E416" s="56">
        <v>43100</v>
      </c>
      <c r="F416" s="8">
        <v>20945502.719999999</v>
      </c>
      <c r="G416" s="8">
        <v>25839878.399999999</v>
      </c>
      <c r="H416" s="129" t="s">
        <v>1100</v>
      </c>
      <c r="I416" s="55">
        <v>4088.89</v>
      </c>
      <c r="J416" s="1"/>
    </row>
    <row r="417" spans="1:10" ht="24" x14ac:dyDescent="0.25">
      <c r="A417" s="115">
        <v>360</v>
      </c>
      <c r="B417" s="139" t="s">
        <v>969</v>
      </c>
      <c r="C417" s="140" t="s">
        <v>1457</v>
      </c>
      <c r="D417" s="56">
        <v>42369</v>
      </c>
      <c r="E417" s="56">
        <v>43100</v>
      </c>
      <c r="F417" s="8">
        <v>1800</v>
      </c>
      <c r="G417" s="8">
        <v>2250</v>
      </c>
      <c r="H417" s="129" t="s">
        <v>1100</v>
      </c>
      <c r="I417" s="55">
        <v>1196.05</v>
      </c>
      <c r="J417" s="1"/>
    </row>
    <row r="418" spans="1:10" ht="24" x14ac:dyDescent="0.25">
      <c r="A418" s="115">
        <v>361</v>
      </c>
      <c r="B418" s="139" t="s">
        <v>626</v>
      </c>
      <c r="C418" s="140" t="s">
        <v>1458</v>
      </c>
      <c r="D418" s="56">
        <v>42370</v>
      </c>
      <c r="E418" s="56">
        <v>43100</v>
      </c>
      <c r="F418" s="8">
        <v>48000</v>
      </c>
      <c r="G418" s="8">
        <v>60000</v>
      </c>
      <c r="H418" s="129" t="s">
        <v>1100</v>
      </c>
      <c r="I418" s="55">
        <v>10385.1</v>
      </c>
      <c r="J418" s="1"/>
    </row>
    <row r="419" spans="1:10" ht="24" x14ac:dyDescent="0.25">
      <c r="A419" s="115">
        <v>362</v>
      </c>
      <c r="B419" s="139" t="s">
        <v>498</v>
      </c>
      <c r="C419" s="140" t="s">
        <v>1459</v>
      </c>
      <c r="D419" s="56">
        <v>42572</v>
      </c>
      <c r="E419" s="56">
        <v>43100</v>
      </c>
      <c r="F419" s="8">
        <v>4524</v>
      </c>
      <c r="G419" s="8">
        <v>5655</v>
      </c>
      <c r="H419" s="129" t="s">
        <v>1100</v>
      </c>
      <c r="I419" s="55">
        <v>6655.44</v>
      </c>
      <c r="J419" s="1"/>
    </row>
    <row r="420" spans="1:10" ht="24" x14ac:dyDescent="0.25">
      <c r="A420" s="115">
        <v>363</v>
      </c>
      <c r="B420" s="139" t="s">
        <v>970</v>
      </c>
      <c r="C420" s="140" t="s">
        <v>1460</v>
      </c>
      <c r="D420" s="56">
        <v>42369</v>
      </c>
      <c r="E420" s="56">
        <v>43465</v>
      </c>
      <c r="F420" s="8">
        <v>0</v>
      </c>
      <c r="G420" s="8">
        <v>0</v>
      </c>
      <c r="H420" s="129" t="s">
        <v>1100</v>
      </c>
      <c r="I420" s="55">
        <v>5581.8</v>
      </c>
      <c r="J420" s="1"/>
    </row>
    <row r="421" spans="1:10" ht="24" x14ac:dyDescent="0.25">
      <c r="A421" s="115">
        <v>364</v>
      </c>
      <c r="B421" s="139" t="s">
        <v>889</v>
      </c>
      <c r="C421" s="140" t="s">
        <v>1461</v>
      </c>
      <c r="D421" s="56">
        <v>42369</v>
      </c>
      <c r="E421" s="56">
        <v>43100</v>
      </c>
      <c r="F421" s="8">
        <v>8541.06</v>
      </c>
      <c r="G421" s="8">
        <v>11030.68</v>
      </c>
      <c r="H421" s="129" t="s">
        <v>1100</v>
      </c>
      <c r="I421" s="55">
        <v>9217</v>
      </c>
      <c r="J421" s="1"/>
    </row>
    <row r="422" spans="1:10" ht="36" x14ac:dyDescent="0.25">
      <c r="A422" s="115">
        <v>365</v>
      </c>
      <c r="B422" s="139" t="s">
        <v>716</v>
      </c>
      <c r="C422" s="140" t="s">
        <v>1462</v>
      </c>
      <c r="D422" s="56">
        <v>42369</v>
      </c>
      <c r="E422" s="56">
        <v>43100</v>
      </c>
      <c r="F422" s="8">
        <v>1698.4</v>
      </c>
      <c r="G422" s="8">
        <v>2123</v>
      </c>
      <c r="H422" s="129" t="s">
        <v>1100</v>
      </c>
      <c r="I422" s="55">
        <v>2821.12</v>
      </c>
      <c r="J422" s="1"/>
    </row>
    <row r="423" spans="1:10" ht="24" x14ac:dyDescent="0.25">
      <c r="A423" s="115">
        <v>366</v>
      </c>
      <c r="B423" s="139" t="s">
        <v>499</v>
      </c>
      <c r="C423" s="140" t="s">
        <v>1463</v>
      </c>
      <c r="D423" s="56">
        <v>42625</v>
      </c>
      <c r="E423" s="56">
        <v>43100</v>
      </c>
      <c r="F423" s="8">
        <v>4524</v>
      </c>
      <c r="G423" s="8">
        <v>5655</v>
      </c>
      <c r="H423" s="129" t="s">
        <v>1100</v>
      </c>
      <c r="I423" s="55">
        <v>4121.07</v>
      </c>
      <c r="J423" s="1"/>
    </row>
    <row r="424" spans="1:10" ht="24" x14ac:dyDescent="0.25">
      <c r="A424" s="115">
        <v>367</v>
      </c>
      <c r="B424" s="139" t="s">
        <v>544</v>
      </c>
      <c r="C424" s="140" t="s">
        <v>1464</v>
      </c>
      <c r="D424" s="56">
        <v>42369</v>
      </c>
      <c r="E424" s="56">
        <v>43100</v>
      </c>
      <c r="F424" s="8">
        <v>20945502</v>
      </c>
      <c r="G424" s="8">
        <v>26181877.5</v>
      </c>
      <c r="H424" s="129" t="s">
        <v>1100</v>
      </c>
      <c r="I424" s="55">
        <v>8152.21</v>
      </c>
      <c r="J424" s="1"/>
    </row>
    <row r="425" spans="1:10" ht="24" x14ac:dyDescent="0.25">
      <c r="A425" s="115">
        <v>368</v>
      </c>
      <c r="B425" s="139" t="s">
        <v>753</v>
      </c>
      <c r="C425" s="140" t="s">
        <v>1465</v>
      </c>
      <c r="D425" s="56">
        <v>42710</v>
      </c>
      <c r="E425" s="56">
        <v>43100</v>
      </c>
      <c r="F425" s="8">
        <v>4480</v>
      </c>
      <c r="G425" s="8">
        <v>5600</v>
      </c>
      <c r="H425" s="129" t="s">
        <v>1100</v>
      </c>
      <c r="I425" s="55">
        <v>2027.32</v>
      </c>
      <c r="J425" s="1"/>
    </row>
    <row r="426" spans="1:10" ht="24" x14ac:dyDescent="0.25">
      <c r="A426" s="115">
        <v>369</v>
      </c>
      <c r="B426" s="139" t="s">
        <v>906</v>
      </c>
      <c r="C426" s="140" t="s">
        <v>1466</v>
      </c>
      <c r="D426" s="56">
        <v>42782</v>
      </c>
      <c r="E426" s="56">
        <v>43100</v>
      </c>
      <c r="F426" s="8">
        <v>5760</v>
      </c>
      <c r="G426" s="8">
        <v>7200</v>
      </c>
      <c r="H426" s="129" t="s">
        <v>1100</v>
      </c>
      <c r="I426" s="55">
        <v>7800.31</v>
      </c>
      <c r="J426" s="1"/>
    </row>
    <row r="427" spans="1:10" ht="24" x14ac:dyDescent="0.25">
      <c r="A427" s="115">
        <v>370</v>
      </c>
      <c r="B427" s="139" t="s">
        <v>837</v>
      </c>
      <c r="C427" s="140" t="s">
        <v>1467</v>
      </c>
      <c r="D427" s="56">
        <v>42845</v>
      </c>
      <c r="E427" s="56">
        <v>43100</v>
      </c>
      <c r="F427" s="8">
        <v>0</v>
      </c>
      <c r="G427" s="8">
        <v>0</v>
      </c>
      <c r="H427" s="129" t="s">
        <v>1100</v>
      </c>
      <c r="I427" s="55">
        <v>486.08</v>
      </c>
      <c r="J427" s="1"/>
    </row>
    <row r="428" spans="1:10" ht="36" x14ac:dyDescent="0.25">
      <c r="A428" s="115">
        <v>371</v>
      </c>
      <c r="B428" s="139" t="s">
        <v>815</v>
      </c>
      <c r="C428" s="140" t="s">
        <v>1468</v>
      </c>
      <c r="D428" s="56">
        <v>42838</v>
      </c>
      <c r="E428" s="56">
        <v>43100</v>
      </c>
      <c r="F428" s="8">
        <v>0</v>
      </c>
      <c r="G428" s="8">
        <v>0</v>
      </c>
      <c r="H428" s="129" t="s">
        <v>1100</v>
      </c>
      <c r="I428" s="55">
        <v>10716.96</v>
      </c>
      <c r="J428" s="1"/>
    </row>
    <row r="429" spans="1:10" ht="24" x14ac:dyDescent="0.25">
      <c r="A429" s="115">
        <v>372</v>
      </c>
      <c r="B429" s="139" t="s">
        <v>505</v>
      </c>
      <c r="C429" s="140" t="s">
        <v>1469</v>
      </c>
      <c r="D429" s="56">
        <v>42369</v>
      </c>
      <c r="E429" s="56">
        <v>43100</v>
      </c>
      <c r="F429" s="8">
        <v>249586.4</v>
      </c>
      <c r="G429" s="8">
        <v>311983</v>
      </c>
      <c r="H429" s="129" t="s">
        <v>1100</v>
      </c>
      <c r="I429" s="55">
        <v>86762.61</v>
      </c>
      <c r="J429" s="1"/>
    </row>
    <row r="430" spans="1:10" ht="24" x14ac:dyDescent="0.25">
      <c r="A430" s="115">
        <v>373</v>
      </c>
      <c r="B430" s="139" t="s">
        <v>622</v>
      </c>
      <c r="C430" s="141">
        <v>39</v>
      </c>
      <c r="D430" s="56">
        <v>42369</v>
      </c>
      <c r="E430" s="56">
        <v>43099</v>
      </c>
      <c r="F430" s="8">
        <v>18000</v>
      </c>
      <c r="G430" s="8">
        <v>22500</v>
      </c>
      <c r="H430" s="129" t="s">
        <v>1100</v>
      </c>
      <c r="I430" s="80">
        <v>2834.09</v>
      </c>
      <c r="J430" s="50"/>
    </row>
    <row r="431" spans="1:10" ht="24" x14ac:dyDescent="0.25">
      <c r="A431" s="115">
        <v>374</v>
      </c>
      <c r="B431" s="139" t="s">
        <v>603</v>
      </c>
      <c r="C431" s="140" t="s">
        <v>1470</v>
      </c>
      <c r="D431" s="56">
        <v>42835</v>
      </c>
      <c r="E431" s="56">
        <v>43100</v>
      </c>
      <c r="F431" s="8">
        <v>0</v>
      </c>
      <c r="G431" s="8">
        <v>0</v>
      </c>
      <c r="H431" s="129" t="s">
        <v>1100</v>
      </c>
      <c r="I431" s="80">
        <v>12940.06</v>
      </c>
      <c r="J431" s="50"/>
    </row>
    <row r="433" spans="2:10" x14ac:dyDescent="0.25">
      <c r="B433" s="174" t="s">
        <v>2028</v>
      </c>
      <c r="C433" s="174"/>
      <c r="D433" s="174"/>
      <c r="E433" s="174"/>
      <c r="F433" s="174"/>
      <c r="G433" s="174"/>
      <c r="H433" s="174"/>
      <c r="I433" s="174"/>
      <c r="J433" s="174"/>
    </row>
  </sheetData>
  <sheetProtection algorithmName="SHA-512" hashValue="1p/OZEbgMoMvNDUGxCaKB5tK0ynmdjzuk2q/8KJ3UsEb25Gp/+PlJ+r6MfgfntC/YKJNlikZTuCQiP3pk84IUQ==" saltValue="U5VilA9orABGNUPtoIPlIQ==" spinCount="100000" sheet="1" objects="1" scenarios="1"/>
  <mergeCells count="13">
    <mergeCell ref="B433:J433"/>
    <mergeCell ref="A54:L54"/>
    <mergeCell ref="A56:J56"/>
    <mergeCell ref="A1:N1"/>
    <mergeCell ref="D2:E2"/>
    <mergeCell ref="D3:E3"/>
    <mergeCell ref="N3:N4"/>
    <mergeCell ref="A4:L4"/>
    <mergeCell ref="A6:J6"/>
    <mergeCell ref="A51:N51"/>
    <mergeCell ref="D52:E52"/>
    <mergeCell ref="D53:E53"/>
    <mergeCell ref="N53:N54"/>
  </mergeCells>
  <pageMargins left="0.23622047244094491" right="0.23622047244094491" top="0.98425196850393704" bottom="0.59055118110236227" header="0.31496062992125984" footer="0.31496062992125984"/>
  <pageSetup scale="69" fitToHeight="0" orientation="landscape" r:id="rId1"/>
  <headerFooter>
    <oddHeader>&amp;L&amp;G&amp;CRegistar okvirnih sporazuma i ugovora za 2016. godinu 
za predmete nabave iz nadležnosti Središnjeg državnog ureda za središnju javnu nabavu</oddHeader>
    <oddFooter>&amp;L&amp;D&amp;C &amp;A&amp;R&amp;P/&amp;N</oddFooter>
  </headerFooter>
  <ignoredErrors>
    <ignoredError sqref="C262" numberStoredAsText="1"/>
    <ignoredError sqref="C30" twoDigitTextYear="1"/>
  </ignoredError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N39"/>
  <sheetViews>
    <sheetView view="pageLayout" zoomScaleNormal="100" workbookViewId="0">
      <selection sqref="A1:N1"/>
    </sheetView>
  </sheetViews>
  <sheetFormatPr defaultRowHeight="15" x14ac:dyDescent="0.25"/>
  <cols>
    <col min="1" max="1" width="4.85546875" customWidth="1"/>
    <col min="2" max="2" width="26.140625" customWidth="1"/>
    <col min="3" max="3" width="12" customWidth="1"/>
    <col min="4" max="4" width="13.42578125" customWidth="1"/>
    <col min="5" max="5" width="14" customWidth="1"/>
    <col min="6" max="6" width="15.28515625" customWidth="1"/>
    <col min="7" max="10" width="13.5703125" customWidth="1"/>
    <col min="11" max="13" width="14.28515625" customWidth="1"/>
    <col min="14" max="14" width="11.42578125" customWidth="1"/>
  </cols>
  <sheetData>
    <row r="1" spans="1:14" x14ac:dyDescent="0.25">
      <c r="A1" s="175" t="s">
        <v>88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36" x14ac:dyDescent="0.25">
      <c r="A2" s="53" t="s">
        <v>0</v>
      </c>
      <c r="B2" s="54" t="s">
        <v>1</v>
      </c>
      <c r="C2" s="54" t="s">
        <v>3</v>
      </c>
      <c r="D2" s="178" t="s">
        <v>171</v>
      </c>
      <c r="E2" s="178"/>
      <c r="F2" s="54" t="s">
        <v>166</v>
      </c>
      <c r="G2" s="54" t="s">
        <v>170</v>
      </c>
      <c r="H2" s="54" t="s">
        <v>167</v>
      </c>
      <c r="I2" s="54" t="s">
        <v>4</v>
      </c>
      <c r="J2" s="54" t="s">
        <v>5</v>
      </c>
      <c r="K2" s="54" t="s">
        <v>2</v>
      </c>
      <c r="L2" s="54" t="s">
        <v>172</v>
      </c>
      <c r="M2" s="54" t="s">
        <v>173</v>
      </c>
      <c r="N2" s="54" t="s">
        <v>169</v>
      </c>
    </row>
    <row r="3" spans="1:14" ht="37.5" customHeight="1" x14ac:dyDescent="0.25">
      <c r="A3" s="1">
        <v>1</v>
      </c>
      <c r="B3" s="13" t="s">
        <v>89</v>
      </c>
      <c r="C3" s="14" t="s">
        <v>90</v>
      </c>
      <c r="D3" s="192" t="s">
        <v>1040</v>
      </c>
      <c r="E3" s="192"/>
      <c r="F3" s="38" t="s">
        <v>104</v>
      </c>
      <c r="G3" s="38" t="s">
        <v>1008</v>
      </c>
      <c r="H3" s="1" t="s">
        <v>15</v>
      </c>
      <c r="I3" s="15">
        <v>42524</v>
      </c>
      <c r="J3" s="1" t="s">
        <v>59</v>
      </c>
      <c r="K3" s="8">
        <v>1380563.48</v>
      </c>
      <c r="L3" s="8">
        <f>K3*0.25</f>
        <v>345140.87</v>
      </c>
      <c r="M3" s="8">
        <f>K3+L3</f>
        <v>1725704.35</v>
      </c>
      <c r="N3" s="176"/>
    </row>
    <row r="4" spans="1:14" ht="15" customHeight="1" x14ac:dyDescent="0.25">
      <c r="A4" s="177" t="s">
        <v>1012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37">
        <v>254193.23749999999</v>
      </c>
      <c r="N4" s="176"/>
    </row>
    <row r="5" spans="1:14" ht="7.5" customHeight="1" x14ac:dyDescent="0.25">
      <c r="L5" s="47"/>
    </row>
    <row r="6" spans="1:14" ht="15" customHeight="1" x14ac:dyDescent="0.25">
      <c r="A6" s="175" t="s">
        <v>12</v>
      </c>
      <c r="B6" s="175"/>
      <c r="C6" s="175"/>
      <c r="D6" s="175"/>
      <c r="E6" s="175"/>
      <c r="F6" s="175"/>
      <c r="G6" s="175"/>
      <c r="H6" s="175"/>
      <c r="I6" s="175"/>
      <c r="J6" s="175"/>
      <c r="K6" s="49"/>
      <c r="L6" s="49"/>
    </row>
    <row r="7" spans="1:14" ht="48" customHeight="1" x14ac:dyDescent="0.25">
      <c r="A7" s="2" t="s">
        <v>0</v>
      </c>
      <c r="B7" s="3" t="s">
        <v>7</v>
      </c>
      <c r="C7" s="3" t="s">
        <v>6</v>
      </c>
      <c r="D7" s="3" t="s">
        <v>8</v>
      </c>
      <c r="E7" s="3" t="s">
        <v>168</v>
      </c>
      <c r="F7" s="3" t="s">
        <v>174</v>
      </c>
      <c r="G7" s="3" t="s">
        <v>175</v>
      </c>
      <c r="H7" s="3" t="s">
        <v>9</v>
      </c>
      <c r="I7" s="3" t="s">
        <v>176</v>
      </c>
      <c r="J7" s="3" t="s">
        <v>10</v>
      </c>
      <c r="K7" s="48"/>
      <c r="L7" s="48"/>
      <c r="M7" s="48"/>
    </row>
    <row r="8" spans="1:14" ht="24" x14ac:dyDescent="0.25">
      <c r="A8" s="1">
        <v>1</v>
      </c>
      <c r="B8" s="87" t="s">
        <v>18</v>
      </c>
      <c r="C8" s="10" t="str">
        <f>"SNUG-204-17-071"</f>
        <v>SNUG-204-17-071</v>
      </c>
      <c r="D8" s="56">
        <v>43083</v>
      </c>
      <c r="E8" s="56">
        <v>43448</v>
      </c>
      <c r="F8" s="8">
        <v>676800</v>
      </c>
      <c r="G8" s="8">
        <v>846000</v>
      </c>
      <c r="H8" s="56">
        <v>43100</v>
      </c>
      <c r="I8" s="37">
        <v>0</v>
      </c>
      <c r="J8" s="71"/>
      <c r="L8" s="112"/>
      <c r="M8" s="112"/>
    </row>
    <row r="9" spans="1:14" ht="24" x14ac:dyDescent="0.25">
      <c r="A9" s="1">
        <v>2</v>
      </c>
      <c r="B9" s="87" t="s">
        <v>18</v>
      </c>
      <c r="C9" s="10" t="str">
        <f>"SNUG-204-16-0059"</f>
        <v>SNUG-204-16-0059</v>
      </c>
      <c r="D9" s="56">
        <v>42692</v>
      </c>
      <c r="E9" s="56">
        <v>43057</v>
      </c>
      <c r="F9" s="8">
        <v>315200</v>
      </c>
      <c r="G9" s="8">
        <v>394000</v>
      </c>
      <c r="H9" s="56">
        <v>43057</v>
      </c>
      <c r="I9" s="37">
        <v>254193.23749999999</v>
      </c>
      <c r="J9" s="71"/>
      <c r="L9" s="112"/>
      <c r="M9" s="112"/>
    </row>
    <row r="10" spans="1:14" ht="7.5" customHeight="1" x14ac:dyDescent="0.25"/>
    <row r="11" spans="1:14" x14ac:dyDescent="0.25">
      <c r="A11" s="175" t="s">
        <v>88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</row>
    <row r="12" spans="1:14" ht="36" x14ac:dyDescent="0.25">
      <c r="A12" s="53" t="s">
        <v>0</v>
      </c>
      <c r="B12" s="54" t="s">
        <v>1</v>
      </c>
      <c r="C12" s="54" t="s">
        <v>3</v>
      </c>
      <c r="D12" s="178" t="s">
        <v>171</v>
      </c>
      <c r="E12" s="178"/>
      <c r="F12" s="54" t="s">
        <v>166</v>
      </c>
      <c r="G12" s="54" t="s">
        <v>170</v>
      </c>
      <c r="H12" s="54" t="s">
        <v>167</v>
      </c>
      <c r="I12" s="54" t="s">
        <v>4</v>
      </c>
      <c r="J12" s="54" t="s">
        <v>5</v>
      </c>
      <c r="K12" s="54" t="s">
        <v>2</v>
      </c>
      <c r="L12" s="54" t="s">
        <v>172</v>
      </c>
      <c r="M12" s="54" t="s">
        <v>173</v>
      </c>
      <c r="N12" s="54" t="s">
        <v>169</v>
      </c>
    </row>
    <row r="13" spans="1:14" ht="24" x14ac:dyDescent="0.25">
      <c r="A13" s="1">
        <v>1</v>
      </c>
      <c r="B13" s="13" t="s">
        <v>89</v>
      </c>
      <c r="C13" s="14" t="s">
        <v>91</v>
      </c>
      <c r="D13" s="193" t="s">
        <v>1041</v>
      </c>
      <c r="E13" s="193"/>
      <c r="F13" s="38" t="s">
        <v>104</v>
      </c>
      <c r="G13" s="38" t="s">
        <v>1008</v>
      </c>
      <c r="H13" s="1" t="s">
        <v>15</v>
      </c>
      <c r="I13" s="15">
        <v>42523</v>
      </c>
      <c r="J13" s="1" t="s">
        <v>59</v>
      </c>
      <c r="K13" s="8">
        <v>699427</v>
      </c>
      <c r="L13" s="8">
        <f>K13*0.25</f>
        <v>174856.75</v>
      </c>
      <c r="M13" s="8">
        <f>K13+L13</f>
        <v>874283.75</v>
      </c>
      <c r="N13" s="176"/>
    </row>
    <row r="14" spans="1:14" ht="15" customHeight="1" x14ac:dyDescent="0.25">
      <c r="A14" s="177" t="s">
        <v>1012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8">
        <v>354690.5</v>
      </c>
      <c r="N14" s="176"/>
    </row>
    <row r="15" spans="1:14" ht="7.5" customHeight="1" x14ac:dyDescent="0.25">
      <c r="L15" s="47"/>
    </row>
    <row r="16" spans="1:14" ht="15" customHeight="1" x14ac:dyDescent="0.25">
      <c r="A16" s="175" t="s">
        <v>12</v>
      </c>
      <c r="B16" s="175"/>
      <c r="C16" s="175"/>
      <c r="D16" s="175"/>
      <c r="E16" s="175"/>
      <c r="F16" s="175"/>
      <c r="G16" s="175"/>
      <c r="H16" s="175"/>
      <c r="I16" s="175"/>
      <c r="J16" s="175"/>
      <c r="K16" s="49"/>
      <c r="L16" s="49"/>
    </row>
    <row r="17" spans="1:14" ht="48" customHeight="1" x14ac:dyDescent="0.25">
      <c r="A17" s="2" t="s">
        <v>0</v>
      </c>
      <c r="B17" s="3" t="s">
        <v>7</v>
      </c>
      <c r="C17" s="3" t="s">
        <v>6</v>
      </c>
      <c r="D17" s="3" t="s">
        <v>8</v>
      </c>
      <c r="E17" s="3" t="s">
        <v>168</v>
      </c>
      <c r="F17" s="3" t="s">
        <v>174</v>
      </c>
      <c r="G17" s="3" t="s">
        <v>175</v>
      </c>
      <c r="H17" s="3" t="s">
        <v>9</v>
      </c>
      <c r="I17" s="3" t="s">
        <v>176</v>
      </c>
      <c r="J17" s="3" t="s">
        <v>10</v>
      </c>
      <c r="K17" s="48"/>
      <c r="L17" s="48"/>
      <c r="M17" s="48"/>
    </row>
    <row r="18" spans="1:14" x14ac:dyDescent="0.25">
      <c r="A18" s="1">
        <v>1</v>
      </c>
      <c r="B18" s="6" t="s">
        <v>17</v>
      </c>
      <c r="C18" s="58" t="str">
        <f>"7-SUSJN/17"</f>
        <v>7-SUSJN/17</v>
      </c>
      <c r="D18" s="89">
        <v>42940</v>
      </c>
      <c r="E18" s="89">
        <v>43305</v>
      </c>
      <c r="F18" s="90">
        <v>174856.75</v>
      </c>
      <c r="G18" s="90">
        <v>218570.94</v>
      </c>
      <c r="H18" s="89">
        <v>43100</v>
      </c>
      <c r="I18" s="37">
        <v>50523.149999999994</v>
      </c>
      <c r="J18" s="84"/>
      <c r="L18" s="112"/>
      <c r="M18" s="112"/>
    </row>
    <row r="19" spans="1:14" x14ac:dyDescent="0.25">
      <c r="A19" s="1">
        <v>2</v>
      </c>
      <c r="B19" s="6" t="s">
        <v>17</v>
      </c>
      <c r="C19" s="58" t="str">
        <f>"9-DUSJN/16"</f>
        <v>9-DUSJN/16</v>
      </c>
      <c r="D19" s="89">
        <v>42573</v>
      </c>
      <c r="E19" s="89">
        <v>42938</v>
      </c>
      <c r="F19" s="90">
        <v>174856.75</v>
      </c>
      <c r="G19" s="90">
        <v>218570.94</v>
      </c>
      <c r="H19" s="89">
        <v>42938</v>
      </c>
      <c r="I19" s="37">
        <v>304167.34999999998</v>
      </c>
      <c r="J19" s="84"/>
      <c r="L19" s="112"/>
      <c r="M19" s="112"/>
    </row>
    <row r="20" spans="1:14" ht="7.5" customHeight="1" x14ac:dyDescent="0.25"/>
    <row r="21" spans="1:14" x14ac:dyDescent="0.25">
      <c r="A21" s="175" t="s">
        <v>88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</row>
    <row r="22" spans="1:14" ht="36" x14ac:dyDescent="0.25">
      <c r="A22" s="53" t="s">
        <v>0</v>
      </c>
      <c r="B22" s="54" t="s">
        <v>1</v>
      </c>
      <c r="C22" s="54" t="s">
        <v>3</v>
      </c>
      <c r="D22" s="178" t="s">
        <v>171</v>
      </c>
      <c r="E22" s="178"/>
      <c r="F22" s="54" t="s">
        <v>166</v>
      </c>
      <c r="G22" s="54" t="s">
        <v>170</v>
      </c>
      <c r="H22" s="54" t="s">
        <v>167</v>
      </c>
      <c r="I22" s="54" t="s">
        <v>4</v>
      </c>
      <c r="J22" s="54" t="s">
        <v>5</v>
      </c>
      <c r="K22" s="54" t="s">
        <v>2</v>
      </c>
      <c r="L22" s="54" t="s">
        <v>172</v>
      </c>
      <c r="M22" s="54" t="s">
        <v>173</v>
      </c>
      <c r="N22" s="54" t="s">
        <v>169</v>
      </c>
    </row>
    <row r="23" spans="1:14" ht="35.25" customHeight="1" x14ac:dyDescent="0.25">
      <c r="A23" s="1">
        <v>1</v>
      </c>
      <c r="B23" s="13" t="s">
        <v>89</v>
      </c>
      <c r="C23" s="14" t="s">
        <v>92</v>
      </c>
      <c r="D23" s="192" t="s">
        <v>1040</v>
      </c>
      <c r="E23" s="192"/>
      <c r="F23" s="38" t="s">
        <v>104</v>
      </c>
      <c r="G23" s="38" t="s">
        <v>1008</v>
      </c>
      <c r="H23" s="1" t="s">
        <v>15</v>
      </c>
      <c r="I23" s="15">
        <v>42524</v>
      </c>
      <c r="J23" s="1" t="s">
        <v>59</v>
      </c>
      <c r="K23" s="8">
        <v>298036.03999999998</v>
      </c>
      <c r="L23" s="8">
        <f>K23*0.25</f>
        <v>74509.009999999995</v>
      </c>
      <c r="M23" s="8">
        <f>K23+L23</f>
        <v>372545.05</v>
      </c>
      <c r="N23" s="176"/>
    </row>
    <row r="24" spans="1:14" ht="15" customHeight="1" x14ac:dyDescent="0.25">
      <c r="A24" s="177" t="s">
        <v>1012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24">
        <v>64738.9375</v>
      </c>
      <c r="N24" s="176"/>
    </row>
    <row r="25" spans="1:14" ht="7.5" customHeight="1" x14ac:dyDescent="0.25">
      <c r="L25" s="47"/>
    </row>
    <row r="26" spans="1:14" ht="15" customHeight="1" x14ac:dyDescent="0.25">
      <c r="A26" s="175" t="s">
        <v>12</v>
      </c>
      <c r="B26" s="175"/>
      <c r="C26" s="175"/>
      <c r="D26" s="175"/>
      <c r="E26" s="175"/>
      <c r="F26" s="175"/>
      <c r="G26" s="175"/>
      <c r="H26" s="175"/>
      <c r="I26" s="175"/>
      <c r="J26" s="175"/>
      <c r="K26" s="49"/>
      <c r="L26" s="49"/>
    </row>
    <row r="27" spans="1:14" ht="48" customHeight="1" x14ac:dyDescent="0.25">
      <c r="A27" s="2" t="s">
        <v>0</v>
      </c>
      <c r="B27" s="3" t="s">
        <v>7</v>
      </c>
      <c r="C27" s="3" t="s">
        <v>6</v>
      </c>
      <c r="D27" s="3" t="s">
        <v>8</v>
      </c>
      <c r="E27" s="3" t="s">
        <v>168</v>
      </c>
      <c r="F27" s="3" t="s">
        <v>174</v>
      </c>
      <c r="G27" s="3" t="s">
        <v>175</v>
      </c>
      <c r="H27" s="3" t="s">
        <v>9</v>
      </c>
      <c r="I27" s="3" t="s">
        <v>176</v>
      </c>
      <c r="J27" s="3" t="s">
        <v>10</v>
      </c>
      <c r="K27" s="48"/>
      <c r="L27" s="48"/>
      <c r="M27" s="48"/>
    </row>
    <row r="28" spans="1:14" ht="36" x14ac:dyDescent="0.25">
      <c r="A28" s="1">
        <v>1</v>
      </c>
      <c r="B28" s="60" t="s">
        <v>97</v>
      </c>
      <c r="C28" s="10" t="str">
        <f>"030-01/17-04/3"</f>
        <v>030-01/17-04/3</v>
      </c>
      <c r="D28" s="56">
        <v>42394</v>
      </c>
      <c r="E28" s="56">
        <v>43100</v>
      </c>
      <c r="F28" s="8">
        <v>75548.94</v>
      </c>
      <c r="G28" s="8">
        <v>94436.18</v>
      </c>
      <c r="H28" s="56">
        <v>43008</v>
      </c>
      <c r="I28" s="24">
        <v>64738.9375</v>
      </c>
      <c r="J28" s="70"/>
      <c r="L28" s="112"/>
      <c r="M28" s="112"/>
      <c r="N28" s="112"/>
    </row>
    <row r="29" spans="1:14" ht="7.5" customHeight="1" x14ac:dyDescent="0.25"/>
    <row r="30" spans="1:14" x14ac:dyDescent="0.25">
      <c r="A30" s="175" t="s">
        <v>88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</row>
    <row r="31" spans="1:14" ht="36" x14ac:dyDescent="0.25">
      <c r="A31" s="53" t="s">
        <v>0</v>
      </c>
      <c r="B31" s="54" t="s">
        <v>1</v>
      </c>
      <c r="C31" s="54" t="s">
        <v>3</v>
      </c>
      <c r="D31" s="178" t="s">
        <v>171</v>
      </c>
      <c r="E31" s="178"/>
      <c r="F31" s="54" t="s">
        <v>166</v>
      </c>
      <c r="G31" s="54" t="s">
        <v>170</v>
      </c>
      <c r="H31" s="54" t="s">
        <v>167</v>
      </c>
      <c r="I31" s="54" t="s">
        <v>4</v>
      </c>
      <c r="J31" s="54" t="s">
        <v>5</v>
      </c>
      <c r="K31" s="54" t="s">
        <v>2</v>
      </c>
      <c r="L31" s="54" t="s">
        <v>172</v>
      </c>
      <c r="M31" s="54" t="s">
        <v>173</v>
      </c>
      <c r="N31" s="54" t="s">
        <v>169</v>
      </c>
    </row>
    <row r="32" spans="1:14" ht="24" x14ac:dyDescent="0.25">
      <c r="A32" s="1">
        <v>1</v>
      </c>
      <c r="B32" s="13" t="s">
        <v>89</v>
      </c>
      <c r="C32" s="14" t="s">
        <v>93</v>
      </c>
      <c r="D32" s="193" t="s">
        <v>1041</v>
      </c>
      <c r="E32" s="193"/>
      <c r="F32" s="38" t="s">
        <v>104</v>
      </c>
      <c r="G32" s="38" t="s">
        <v>1008</v>
      </c>
      <c r="H32" s="1" t="s">
        <v>15</v>
      </c>
      <c r="I32" s="15">
        <v>42523</v>
      </c>
      <c r="J32" s="1" t="s">
        <v>59</v>
      </c>
      <c r="K32" s="8">
        <v>188780</v>
      </c>
      <c r="L32" s="8">
        <f>K32*0.25</f>
        <v>47195</v>
      </c>
      <c r="M32" s="8">
        <f>K32+L32</f>
        <v>235975</v>
      </c>
      <c r="N32" s="176"/>
    </row>
    <row r="33" spans="1:14" ht="15" customHeight="1" x14ac:dyDescent="0.25">
      <c r="A33" s="177" t="s">
        <v>1012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8">
        <v>114241.44</v>
      </c>
      <c r="N33" s="176"/>
    </row>
    <row r="34" spans="1:14" ht="7.5" customHeight="1" x14ac:dyDescent="0.25">
      <c r="L34" s="47"/>
    </row>
    <row r="35" spans="1:14" ht="15" customHeight="1" x14ac:dyDescent="0.25">
      <c r="A35" s="175" t="s">
        <v>12</v>
      </c>
      <c r="B35" s="175"/>
      <c r="C35" s="175"/>
      <c r="D35" s="175"/>
      <c r="E35" s="175"/>
      <c r="F35" s="175"/>
      <c r="G35" s="175"/>
      <c r="H35" s="175"/>
      <c r="I35" s="175"/>
      <c r="J35" s="175"/>
      <c r="K35" s="49"/>
      <c r="L35" s="49"/>
    </row>
    <row r="36" spans="1:14" ht="48" customHeight="1" x14ac:dyDescent="0.25">
      <c r="A36" s="2" t="s">
        <v>0</v>
      </c>
      <c r="B36" s="3" t="s">
        <v>7</v>
      </c>
      <c r="C36" s="3" t="s">
        <v>6</v>
      </c>
      <c r="D36" s="3" t="s">
        <v>8</v>
      </c>
      <c r="E36" s="3" t="s">
        <v>168</v>
      </c>
      <c r="F36" s="3" t="s">
        <v>174</v>
      </c>
      <c r="G36" s="3" t="s">
        <v>175</v>
      </c>
      <c r="H36" s="3" t="s">
        <v>9</v>
      </c>
      <c r="I36" s="3" t="s">
        <v>176</v>
      </c>
      <c r="J36" s="3" t="s">
        <v>10</v>
      </c>
      <c r="L36" s="48"/>
      <c r="M36" s="48"/>
    </row>
    <row r="37" spans="1:14" x14ac:dyDescent="0.25">
      <c r="A37" s="1">
        <v>1</v>
      </c>
      <c r="B37" s="87" t="s">
        <v>16</v>
      </c>
      <c r="C37" s="10" t="str">
        <f>"12-2017"</f>
        <v>12-2017</v>
      </c>
      <c r="D37" s="56">
        <v>42907</v>
      </c>
      <c r="E37" s="56">
        <v>43100</v>
      </c>
      <c r="F37" s="8">
        <v>48028</v>
      </c>
      <c r="G37" s="8">
        <v>60035</v>
      </c>
      <c r="H37" s="56">
        <v>43100</v>
      </c>
      <c r="I37" s="37">
        <v>48709.912499999999</v>
      </c>
      <c r="J37" s="71"/>
      <c r="L37" s="112"/>
    </row>
    <row r="38" spans="1:14" x14ac:dyDescent="0.25">
      <c r="A38" s="1">
        <v>2</v>
      </c>
      <c r="B38" s="87" t="s">
        <v>16</v>
      </c>
      <c r="C38" s="10" t="str">
        <f>"1-2016"</f>
        <v>1-2016</v>
      </c>
      <c r="D38" s="56">
        <v>42633</v>
      </c>
      <c r="E38" s="56">
        <v>42998</v>
      </c>
      <c r="F38" s="8">
        <v>4740</v>
      </c>
      <c r="G38" s="8">
        <v>5925</v>
      </c>
      <c r="H38" s="56">
        <v>43100</v>
      </c>
      <c r="I38" s="55">
        <v>50406.787499999999</v>
      </c>
      <c r="J38" s="1"/>
      <c r="L38" s="112"/>
      <c r="M38" s="112"/>
    </row>
    <row r="39" spans="1:14" x14ac:dyDescent="0.25">
      <c r="A39" s="1">
        <v>3</v>
      </c>
      <c r="B39" s="87" t="s">
        <v>16</v>
      </c>
      <c r="C39" s="10" t="str">
        <f>"41-2016"</f>
        <v>41-2016</v>
      </c>
      <c r="D39" s="56">
        <v>42566</v>
      </c>
      <c r="E39" s="56">
        <v>42931</v>
      </c>
      <c r="F39" s="8">
        <v>49547</v>
      </c>
      <c r="G39" s="8">
        <v>61933.75</v>
      </c>
      <c r="H39" s="56">
        <v>43100</v>
      </c>
      <c r="I39" s="55">
        <v>15124.737500000001</v>
      </c>
      <c r="J39" s="1"/>
      <c r="L39" s="112"/>
      <c r="M39" s="112"/>
    </row>
  </sheetData>
  <sheetProtection algorithmName="SHA-512" hashValue="M8/DdY+tLSoltt1Uy6LktA7yR4cLbkX6U3HO5UKOXT4L26XKc0bH7Egg2oy0p27lc1+x+pqPL7/R0XsfwvDJEw==" saltValue="rWWDQFM7Gz/IosMx3CMGHg==" spinCount="100000" sheet="1" objects="1" scenarios="1"/>
  <mergeCells count="24">
    <mergeCell ref="A6:J6"/>
    <mergeCell ref="A1:N1"/>
    <mergeCell ref="D2:E2"/>
    <mergeCell ref="D3:E3"/>
    <mergeCell ref="N3:N4"/>
    <mergeCell ref="A4:L4"/>
    <mergeCell ref="A11:N11"/>
    <mergeCell ref="D12:E12"/>
    <mergeCell ref="D13:E13"/>
    <mergeCell ref="N13:N14"/>
    <mergeCell ref="A14:L14"/>
    <mergeCell ref="A16:J16"/>
    <mergeCell ref="A21:N21"/>
    <mergeCell ref="D22:E22"/>
    <mergeCell ref="D23:E23"/>
    <mergeCell ref="N23:N24"/>
    <mergeCell ref="A24:L24"/>
    <mergeCell ref="A35:J35"/>
    <mergeCell ref="A26:J26"/>
    <mergeCell ref="A30:N30"/>
    <mergeCell ref="D31:E31"/>
    <mergeCell ref="D32:E32"/>
    <mergeCell ref="N32:N33"/>
    <mergeCell ref="A33:L33"/>
  </mergeCells>
  <pageMargins left="0.23622047244094491" right="0.23622047244094491" top="0.98425196850393704" bottom="0.59055118110236227" header="0.31496062992125984" footer="0.31496062992125984"/>
  <pageSetup scale="69" fitToHeight="0" orientation="landscape" r:id="rId1"/>
  <headerFooter>
    <oddHeader>&amp;L&amp;G&amp;CRegistar okvirnih sporazuma i ugovora za 2016. godinu 
za predmete nabave iz nadležnosti Središnjeg državnog ureda za središnju javnu nabavu</oddHeader>
    <oddFooter>&amp;L&amp;D&amp;C &amp;A&amp;R&amp;P/&amp;N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Q544"/>
  <sheetViews>
    <sheetView view="pageLayout" zoomScaleNormal="100" workbookViewId="0">
      <selection sqref="A1:N1"/>
    </sheetView>
  </sheetViews>
  <sheetFormatPr defaultRowHeight="15" x14ac:dyDescent="0.25"/>
  <cols>
    <col min="1" max="1" width="4.85546875" customWidth="1"/>
    <col min="2" max="2" width="26.140625" customWidth="1"/>
    <col min="3" max="3" width="12" customWidth="1"/>
    <col min="4" max="4" width="13.42578125" customWidth="1"/>
    <col min="5" max="5" width="14" customWidth="1"/>
    <col min="6" max="6" width="15.28515625" customWidth="1"/>
    <col min="7" max="10" width="13.5703125" customWidth="1"/>
    <col min="11" max="13" width="14.28515625" customWidth="1"/>
    <col min="14" max="14" width="11.42578125" customWidth="1"/>
  </cols>
  <sheetData>
    <row r="1" spans="1:17" x14ac:dyDescent="0.25">
      <c r="A1" s="175" t="s">
        <v>42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7" ht="36" x14ac:dyDescent="0.25">
      <c r="A2" s="53" t="s">
        <v>0</v>
      </c>
      <c r="B2" s="54" t="s">
        <v>1</v>
      </c>
      <c r="C2" s="54" t="s">
        <v>3</v>
      </c>
      <c r="D2" s="178" t="s">
        <v>171</v>
      </c>
      <c r="E2" s="178"/>
      <c r="F2" s="54" t="s">
        <v>166</v>
      </c>
      <c r="G2" s="54" t="s">
        <v>170</v>
      </c>
      <c r="H2" s="54" t="s">
        <v>167</v>
      </c>
      <c r="I2" s="54" t="s">
        <v>4</v>
      </c>
      <c r="J2" s="54" t="s">
        <v>5</v>
      </c>
      <c r="K2" s="54" t="s">
        <v>2</v>
      </c>
      <c r="L2" s="54" t="s">
        <v>172</v>
      </c>
      <c r="M2" s="54" t="s">
        <v>173</v>
      </c>
      <c r="N2" s="54" t="s">
        <v>169</v>
      </c>
    </row>
    <row r="3" spans="1:17" ht="24" customHeight="1" x14ac:dyDescent="0.25">
      <c r="A3" s="1">
        <v>1</v>
      </c>
      <c r="B3" s="4" t="s">
        <v>61</v>
      </c>
      <c r="C3" s="14" t="s">
        <v>94</v>
      </c>
      <c r="D3" s="192" t="s">
        <v>1042</v>
      </c>
      <c r="E3" s="192"/>
      <c r="F3" s="38" t="s">
        <v>105</v>
      </c>
      <c r="G3" s="38" t="s">
        <v>1009</v>
      </c>
      <c r="H3" s="1" t="s">
        <v>15</v>
      </c>
      <c r="I3" s="15">
        <v>42424</v>
      </c>
      <c r="J3" s="1" t="s">
        <v>51</v>
      </c>
      <c r="K3" s="8">
        <v>261238827.40000001</v>
      </c>
      <c r="L3" s="8">
        <f>M3-K3</f>
        <v>833470.59999999404</v>
      </c>
      <c r="M3" s="8">
        <v>262072298</v>
      </c>
      <c r="N3" s="176"/>
    </row>
    <row r="4" spans="1:17" ht="15" customHeight="1" x14ac:dyDescent="0.25">
      <c r="A4" s="177" t="s">
        <v>1012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8">
        <v>248262228.78</v>
      </c>
      <c r="N4" s="176"/>
    </row>
    <row r="5" spans="1:17" ht="7.5" customHeight="1" x14ac:dyDescent="0.25">
      <c r="L5" s="47"/>
    </row>
    <row r="6" spans="1:17" ht="15" customHeight="1" x14ac:dyDescent="0.25">
      <c r="A6" s="175" t="s">
        <v>12</v>
      </c>
      <c r="B6" s="175"/>
      <c r="C6" s="175"/>
      <c r="D6" s="175"/>
      <c r="E6" s="175"/>
      <c r="F6" s="175"/>
      <c r="G6" s="175"/>
      <c r="H6" s="175"/>
      <c r="I6" s="175"/>
      <c r="J6" s="175"/>
      <c r="K6" s="49"/>
      <c r="L6" s="49"/>
    </row>
    <row r="7" spans="1:17" ht="48" customHeight="1" x14ac:dyDescent="0.25">
      <c r="A7" s="2" t="s">
        <v>0</v>
      </c>
      <c r="B7" s="3" t="s">
        <v>7</v>
      </c>
      <c r="C7" s="3" t="s">
        <v>6</v>
      </c>
      <c r="D7" s="3" t="s">
        <v>8</v>
      </c>
      <c r="E7" s="3" t="s">
        <v>168</v>
      </c>
      <c r="F7" s="3" t="s">
        <v>174</v>
      </c>
      <c r="G7" s="3" t="s">
        <v>175</v>
      </c>
      <c r="H7" s="3" t="s">
        <v>9</v>
      </c>
      <c r="I7" s="3" t="s">
        <v>176</v>
      </c>
      <c r="J7" s="3" t="s">
        <v>10</v>
      </c>
      <c r="L7" s="48"/>
      <c r="M7" s="148"/>
      <c r="N7" s="148"/>
      <c r="O7" s="148"/>
      <c r="P7" s="148"/>
      <c r="Q7" s="148"/>
    </row>
    <row r="8" spans="1:17" s="146" customFormat="1" ht="24" x14ac:dyDescent="0.25">
      <c r="A8" s="127">
        <v>1</v>
      </c>
      <c r="B8" s="60" t="s">
        <v>195</v>
      </c>
      <c r="C8" s="10" t="str">
        <f>"01"</f>
        <v>01</v>
      </c>
      <c r="D8" s="129">
        <v>42475</v>
      </c>
      <c r="E8" s="127"/>
      <c r="F8" s="37">
        <v>0</v>
      </c>
      <c r="G8" s="151">
        <v>0</v>
      </c>
      <c r="H8" s="164"/>
      <c r="I8" s="171" t="s">
        <v>1101</v>
      </c>
      <c r="J8" s="72"/>
      <c r="K8" s="145"/>
      <c r="L8" s="148"/>
      <c r="M8" s="158"/>
      <c r="N8" s="148"/>
      <c r="O8" s="148"/>
      <c r="P8" s="148"/>
      <c r="Q8" s="148"/>
    </row>
    <row r="9" spans="1:17" s="146" customFormat="1" ht="24" x14ac:dyDescent="0.25">
      <c r="A9" s="127">
        <v>2</v>
      </c>
      <c r="B9" s="60" t="s">
        <v>862</v>
      </c>
      <c r="C9" s="10" t="str">
        <f>"UG15/2015"</f>
        <v>UG15/2015</v>
      </c>
      <c r="D9" s="129">
        <v>42486</v>
      </c>
      <c r="E9" s="129">
        <v>43155</v>
      </c>
      <c r="F9" s="37">
        <v>26816.16</v>
      </c>
      <c r="G9" s="151">
        <v>33520.199999999997</v>
      </c>
      <c r="H9" s="126" t="s">
        <v>1100</v>
      </c>
      <c r="I9" s="156" t="s">
        <v>1520</v>
      </c>
      <c r="J9" s="72"/>
      <c r="K9" s="145"/>
      <c r="L9" s="148"/>
      <c r="M9" s="158"/>
      <c r="N9" s="148"/>
      <c r="O9" s="148"/>
      <c r="P9" s="148"/>
      <c r="Q9" s="148"/>
    </row>
    <row r="10" spans="1:17" s="146" customFormat="1" ht="24" x14ac:dyDescent="0.25">
      <c r="A10" s="127">
        <v>3</v>
      </c>
      <c r="B10" s="60" t="s">
        <v>799</v>
      </c>
      <c r="C10" s="10" t="str">
        <f>"430-02/16-01/10"</f>
        <v>430-02/16-01/10</v>
      </c>
      <c r="D10" s="129">
        <v>42454</v>
      </c>
      <c r="E10" s="127"/>
      <c r="F10" s="37">
        <v>14710.01</v>
      </c>
      <c r="G10" s="151">
        <v>15195.01</v>
      </c>
      <c r="H10" s="126" t="s">
        <v>1100</v>
      </c>
      <c r="I10" s="156" t="s">
        <v>1526</v>
      </c>
      <c r="J10" s="72"/>
      <c r="K10" s="145"/>
      <c r="L10" s="148"/>
      <c r="M10" s="158"/>
      <c r="N10" s="148"/>
      <c r="O10" s="148"/>
      <c r="P10" s="148"/>
      <c r="Q10" s="148"/>
    </row>
    <row r="11" spans="1:17" s="146" customFormat="1" ht="24" x14ac:dyDescent="0.25">
      <c r="A11" s="127">
        <v>4</v>
      </c>
      <c r="B11" s="60" t="s">
        <v>753</v>
      </c>
      <c r="C11" s="10" t="str">
        <f>"DP-02/9/5-006416/16"</f>
        <v>DP-02/9/5-006416/16</v>
      </c>
      <c r="D11" s="129">
        <v>42454</v>
      </c>
      <c r="E11" s="127"/>
      <c r="F11" s="37">
        <v>42270.6</v>
      </c>
      <c r="G11" s="151">
        <v>42311.7</v>
      </c>
      <c r="H11" s="126" t="s">
        <v>1100</v>
      </c>
      <c r="I11" s="156" t="s">
        <v>1527</v>
      </c>
      <c r="J11" s="72"/>
      <c r="K11" s="145"/>
      <c r="L11" s="148"/>
      <c r="M11" s="158"/>
      <c r="N11" s="148"/>
      <c r="O11" s="148"/>
      <c r="P11" s="148"/>
      <c r="Q11" s="148"/>
    </row>
    <row r="12" spans="1:17" s="146" customFormat="1" ht="24" x14ac:dyDescent="0.25">
      <c r="A12" s="127">
        <v>5</v>
      </c>
      <c r="B12" s="60" t="s">
        <v>574</v>
      </c>
      <c r="C12" s="10" t="str">
        <f>"DP-02/9/2-006329/16"</f>
        <v>DP-02/9/2-006329/16</v>
      </c>
      <c r="D12" s="129">
        <v>42401</v>
      </c>
      <c r="E12" s="127"/>
      <c r="F12" s="37">
        <v>11208.3</v>
      </c>
      <c r="G12" s="151">
        <v>11308.3</v>
      </c>
      <c r="H12" s="126" t="s">
        <v>1100</v>
      </c>
      <c r="I12" s="156" t="s">
        <v>1521</v>
      </c>
      <c r="J12" s="72"/>
      <c r="K12" s="145"/>
      <c r="L12" s="148"/>
      <c r="M12" s="158"/>
      <c r="N12" s="148"/>
      <c r="O12" s="148"/>
      <c r="P12" s="148"/>
      <c r="Q12" s="148"/>
    </row>
    <row r="13" spans="1:17" s="146" customFormat="1" ht="24" x14ac:dyDescent="0.25">
      <c r="A13" s="127">
        <v>6</v>
      </c>
      <c r="B13" s="60" t="s">
        <v>762</v>
      </c>
      <c r="C13" s="10" t="str">
        <f>"DP-02/9/4-008223/16"</f>
        <v>DP-02/9/4-008223/16</v>
      </c>
      <c r="D13" s="129">
        <v>42474</v>
      </c>
      <c r="E13" s="129">
        <v>43155</v>
      </c>
      <c r="F13" s="37">
        <v>51424.95</v>
      </c>
      <c r="G13" s="151">
        <v>51424.95</v>
      </c>
      <c r="H13" s="126" t="s">
        <v>1100</v>
      </c>
      <c r="I13" s="156" t="s">
        <v>1522</v>
      </c>
      <c r="J13" s="72"/>
      <c r="K13" s="145"/>
      <c r="L13" s="148"/>
      <c r="M13" s="158"/>
      <c r="N13" s="148"/>
      <c r="O13" s="148"/>
      <c r="P13" s="148"/>
      <c r="Q13" s="148"/>
    </row>
    <row r="14" spans="1:17" s="146" customFormat="1" ht="24" x14ac:dyDescent="0.25">
      <c r="A14" s="127">
        <v>7</v>
      </c>
      <c r="B14" s="60" t="s">
        <v>692</v>
      </c>
      <c r="C14" s="10" t="str">
        <f>"DP-02/9/5-007702/16"</f>
        <v>DP-02/9/5-007702/16</v>
      </c>
      <c r="D14" s="129">
        <v>42461</v>
      </c>
      <c r="E14" s="129">
        <v>43155</v>
      </c>
      <c r="F14" s="37">
        <v>190378.33</v>
      </c>
      <c r="G14" s="151">
        <v>190378.33</v>
      </c>
      <c r="H14" s="126" t="s">
        <v>1100</v>
      </c>
      <c r="I14" s="156" t="s">
        <v>1523</v>
      </c>
      <c r="J14" s="72"/>
      <c r="K14" s="145"/>
      <c r="L14" s="148"/>
      <c r="M14" s="158"/>
      <c r="N14" s="148"/>
      <c r="O14" s="148"/>
      <c r="P14" s="148"/>
      <c r="Q14" s="148"/>
    </row>
    <row r="15" spans="1:17" s="146" customFormat="1" ht="24" x14ac:dyDescent="0.25">
      <c r="A15" s="127">
        <v>8</v>
      </c>
      <c r="B15" s="60" t="s">
        <v>725</v>
      </c>
      <c r="C15" s="10" t="str">
        <f>"DP-2/9/4-007344/16"</f>
        <v>DP-2/9/4-007344/16</v>
      </c>
      <c r="D15" s="129">
        <v>42461</v>
      </c>
      <c r="E15" s="129">
        <v>42790</v>
      </c>
      <c r="F15" s="37">
        <v>73375.179999999993</v>
      </c>
      <c r="G15" s="151">
        <v>73439.179999999993</v>
      </c>
      <c r="H15" s="126" t="s">
        <v>1511</v>
      </c>
      <c r="I15" s="156" t="s">
        <v>1524</v>
      </c>
      <c r="J15" s="72"/>
      <c r="K15" s="145"/>
      <c r="L15" s="148"/>
      <c r="M15" s="158"/>
      <c r="N15" s="148"/>
      <c r="O15" s="148"/>
      <c r="P15" s="148"/>
      <c r="Q15" s="148"/>
    </row>
    <row r="16" spans="1:17" s="146" customFormat="1" ht="24" x14ac:dyDescent="0.25">
      <c r="A16" s="127">
        <v>9</v>
      </c>
      <c r="B16" s="60" t="s">
        <v>824</v>
      </c>
      <c r="C16" s="10" t="str">
        <f>"023-01/16-01/17"</f>
        <v>023-01/16-01/17</v>
      </c>
      <c r="D16" s="129">
        <v>42472</v>
      </c>
      <c r="E16" s="127"/>
      <c r="F16" s="37">
        <v>556905.5</v>
      </c>
      <c r="G16" s="151">
        <v>556905.5</v>
      </c>
      <c r="H16" s="126" t="s">
        <v>1100</v>
      </c>
      <c r="I16" s="156" t="s">
        <v>1525</v>
      </c>
      <c r="J16" s="72"/>
      <c r="K16" s="145"/>
      <c r="L16" s="148"/>
      <c r="M16" s="158"/>
      <c r="N16" s="148"/>
      <c r="O16" s="148"/>
      <c r="P16" s="148"/>
      <c r="Q16" s="148"/>
    </row>
    <row r="17" spans="1:17" s="146" customFormat="1" ht="24" x14ac:dyDescent="0.25">
      <c r="A17" s="127">
        <v>10</v>
      </c>
      <c r="B17" s="60" t="s">
        <v>781</v>
      </c>
      <c r="C17" s="10" t="str">
        <f>"DP-02/9/1-007785/16"</f>
        <v>DP-02/9/1-007785/16</v>
      </c>
      <c r="D17" s="129">
        <v>42485</v>
      </c>
      <c r="E17" s="127"/>
      <c r="F17" s="37">
        <v>14399.6</v>
      </c>
      <c r="G17" s="151">
        <v>17999.5</v>
      </c>
      <c r="H17" s="126" t="s">
        <v>1100</v>
      </c>
      <c r="I17" s="156" t="s">
        <v>1528</v>
      </c>
      <c r="J17" s="72"/>
      <c r="K17" s="145"/>
      <c r="L17" s="148"/>
      <c r="M17" s="158"/>
      <c r="N17" s="148"/>
      <c r="O17" s="148"/>
      <c r="P17" s="148"/>
      <c r="Q17" s="148"/>
    </row>
    <row r="18" spans="1:17" s="146" customFormat="1" ht="24" x14ac:dyDescent="0.25">
      <c r="A18" s="127">
        <v>11</v>
      </c>
      <c r="B18" s="60" t="s">
        <v>825</v>
      </c>
      <c r="C18" s="10" t="str">
        <f>"DP-02/9/5-006291/16"</f>
        <v>DP-02/9/5-006291/16</v>
      </c>
      <c r="D18" s="129">
        <v>42461</v>
      </c>
      <c r="E18" s="129">
        <v>42789</v>
      </c>
      <c r="F18" s="37">
        <v>7167.12</v>
      </c>
      <c r="G18" s="151">
        <v>7234.12</v>
      </c>
      <c r="H18" s="126" t="s">
        <v>1512</v>
      </c>
      <c r="I18" s="156" t="s">
        <v>1529</v>
      </c>
      <c r="J18" s="72"/>
      <c r="K18" s="145"/>
      <c r="L18" s="148"/>
      <c r="M18" s="158"/>
      <c r="N18" s="148"/>
      <c r="O18" s="148"/>
      <c r="P18" s="148"/>
      <c r="Q18" s="148"/>
    </row>
    <row r="19" spans="1:17" s="146" customFormat="1" ht="24" x14ac:dyDescent="0.25">
      <c r="A19" s="127">
        <v>12</v>
      </c>
      <c r="B19" s="60" t="s">
        <v>972</v>
      </c>
      <c r="C19" s="10" t="str">
        <f>"4/2016"</f>
        <v>4/2016</v>
      </c>
      <c r="D19" s="129">
        <v>42424</v>
      </c>
      <c r="E19" s="127"/>
      <c r="F19" s="37">
        <v>11742.46</v>
      </c>
      <c r="G19" s="151">
        <v>11742.46</v>
      </c>
      <c r="H19" s="126" t="s">
        <v>1100</v>
      </c>
      <c r="I19" s="156" t="s">
        <v>1530</v>
      </c>
      <c r="J19" s="72"/>
      <c r="K19" s="145"/>
      <c r="L19" s="148"/>
      <c r="M19" s="158"/>
      <c r="N19" s="148"/>
      <c r="O19" s="148"/>
      <c r="P19" s="148"/>
      <c r="Q19" s="148"/>
    </row>
    <row r="20" spans="1:17" s="146" customFormat="1" ht="36" x14ac:dyDescent="0.25">
      <c r="A20" s="127">
        <v>13</v>
      </c>
      <c r="B20" s="60" t="s">
        <v>727</v>
      </c>
      <c r="C20" s="10" t="str">
        <f>"DP-02/9/3-7088/16"</f>
        <v>DP-02/9/3-7088/16</v>
      </c>
      <c r="D20" s="129">
        <v>42461</v>
      </c>
      <c r="E20" s="129">
        <v>42825</v>
      </c>
      <c r="F20" s="37">
        <v>243323.5</v>
      </c>
      <c r="G20" s="151">
        <v>243323.5</v>
      </c>
      <c r="H20" s="126" t="s">
        <v>1103</v>
      </c>
      <c r="I20" s="156" t="s">
        <v>1531</v>
      </c>
      <c r="J20" s="72"/>
      <c r="K20" s="145"/>
      <c r="L20" s="148"/>
      <c r="M20" s="158"/>
      <c r="N20" s="148"/>
      <c r="O20" s="148"/>
      <c r="P20" s="148"/>
      <c r="Q20" s="148"/>
    </row>
    <row r="21" spans="1:17" s="146" customFormat="1" ht="24" x14ac:dyDescent="0.25">
      <c r="A21" s="127">
        <v>14</v>
      </c>
      <c r="B21" s="60" t="s">
        <v>718</v>
      </c>
      <c r="C21" s="10" t="str">
        <f>"A-29/16"</f>
        <v>A-29/16</v>
      </c>
      <c r="D21" s="129">
        <v>42430</v>
      </c>
      <c r="E21" s="127"/>
      <c r="F21" s="37">
        <v>205849</v>
      </c>
      <c r="G21" s="151">
        <v>205849</v>
      </c>
      <c r="H21" s="126" t="s">
        <v>1100</v>
      </c>
      <c r="I21" s="156" t="s">
        <v>1532</v>
      </c>
      <c r="J21" s="72"/>
      <c r="K21" s="145"/>
      <c r="L21" s="148"/>
      <c r="M21" s="158"/>
      <c r="N21" s="148"/>
      <c r="O21" s="148"/>
      <c r="P21" s="148"/>
      <c r="Q21" s="148"/>
    </row>
    <row r="22" spans="1:17" s="146" customFormat="1" ht="24" x14ac:dyDescent="0.25">
      <c r="A22" s="127">
        <v>15</v>
      </c>
      <c r="B22" s="60" t="s">
        <v>541</v>
      </c>
      <c r="C22" s="10" t="str">
        <f>"DP-02/9/2-006566/16"</f>
        <v>DP-02/9/2-006566/16</v>
      </c>
      <c r="D22" s="129">
        <v>42459</v>
      </c>
      <c r="E22" s="127"/>
      <c r="F22" s="37">
        <v>34833.4</v>
      </c>
      <c r="G22" s="151">
        <v>43541.75</v>
      </c>
      <c r="H22" s="126" t="s">
        <v>1100</v>
      </c>
      <c r="I22" s="156" t="s">
        <v>1533</v>
      </c>
      <c r="J22" s="72"/>
      <c r="K22" s="145"/>
      <c r="L22" s="148"/>
      <c r="M22" s="158"/>
      <c r="N22" s="148"/>
      <c r="O22" s="148"/>
      <c r="P22" s="148"/>
      <c r="Q22" s="148"/>
    </row>
    <row r="23" spans="1:17" s="146" customFormat="1" ht="24" x14ac:dyDescent="0.25">
      <c r="A23" s="127">
        <v>16</v>
      </c>
      <c r="B23" s="60" t="s">
        <v>724</v>
      </c>
      <c r="C23" s="10" t="str">
        <f>"DP-02/9/3-7084/16"</f>
        <v>DP-02/9/3-7084/16</v>
      </c>
      <c r="D23" s="129">
        <v>42461</v>
      </c>
      <c r="E23" s="129">
        <v>43155</v>
      </c>
      <c r="F23" s="37">
        <v>22919.99</v>
      </c>
      <c r="G23" s="151">
        <v>22967.94</v>
      </c>
      <c r="H23" s="126" t="s">
        <v>1100</v>
      </c>
      <c r="I23" s="156" t="s">
        <v>1534</v>
      </c>
      <c r="J23" s="72"/>
      <c r="K23" s="145"/>
      <c r="L23" s="148"/>
      <c r="M23" s="158"/>
      <c r="N23" s="148"/>
      <c r="O23" s="148"/>
      <c r="P23" s="148"/>
      <c r="Q23" s="148"/>
    </row>
    <row r="24" spans="1:17" s="146" customFormat="1" ht="24" x14ac:dyDescent="0.25">
      <c r="A24" s="127">
        <v>17</v>
      </c>
      <c r="B24" s="60" t="s">
        <v>856</v>
      </c>
      <c r="C24" s="10" t="str">
        <f>"328"</f>
        <v>328</v>
      </c>
      <c r="D24" s="129">
        <v>42487</v>
      </c>
      <c r="E24" s="127"/>
      <c r="F24" s="37">
        <v>5887</v>
      </c>
      <c r="G24" s="151">
        <v>7358.75</v>
      </c>
      <c r="H24" s="126" t="s">
        <v>1100</v>
      </c>
      <c r="I24" s="156" t="s">
        <v>1535</v>
      </c>
      <c r="J24" s="72"/>
      <c r="K24" s="145"/>
      <c r="L24" s="148"/>
      <c r="M24" s="158"/>
      <c r="N24" s="148"/>
      <c r="O24" s="148"/>
      <c r="P24" s="148"/>
      <c r="Q24" s="148"/>
    </row>
    <row r="25" spans="1:17" s="146" customFormat="1" ht="24" x14ac:dyDescent="0.25">
      <c r="A25" s="127">
        <v>18</v>
      </c>
      <c r="B25" s="60" t="s">
        <v>577</v>
      </c>
      <c r="C25" s="10" t="str">
        <f>"DP-02/9/3-8003/16"</f>
        <v>DP-02/9/3-8003/16</v>
      </c>
      <c r="D25" s="129">
        <v>42475</v>
      </c>
      <c r="E25" s="129">
        <v>43155</v>
      </c>
      <c r="F25" s="37">
        <v>4636.34</v>
      </c>
      <c r="G25" s="151">
        <v>4636.34</v>
      </c>
      <c r="H25" s="126" t="s">
        <v>1100</v>
      </c>
      <c r="I25" s="156" t="s">
        <v>1101</v>
      </c>
      <c r="J25" s="72"/>
      <c r="K25" s="145"/>
      <c r="L25" s="148"/>
      <c r="M25" s="158"/>
      <c r="N25" s="148"/>
      <c r="O25" s="148"/>
      <c r="P25" s="148"/>
      <c r="Q25" s="148"/>
    </row>
    <row r="26" spans="1:17" s="146" customFormat="1" ht="24" x14ac:dyDescent="0.25">
      <c r="A26" s="127">
        <v>19</v>
      </c>
      <c r="B26" s="60" t="s">
        <v>907</v>
      </c>
      <c r="C26" s="10" t="str">
        <f>"DP-02/9/1-006317/16"</f>
        <v>DP-02/9/1-006317/16</v>
      </c>
      <c r="D26" s="129">
        <v>42487</v>
      </c>
      <c r="E26" s="127"/>
      <c r="F26" s="37">
        <v>104000</v>
      </c>
      <c r="G26" s="151">
        <v>104000</v>
      </c>
      <c r="H26" s="126" t="s">
        <v>1100</v>
      </c>
      <c r="I26" s="156" t="s">
        <v>1536</v>
      </c>
      <c r="J26" s="72"/>
      <c r="K26" s="145"/>
      <c r="L26" s="148"/>
      <c r="M26" s="158"/>
      <c r="N26" s="148"/>
      <c r="O26" s="148"/>
      <c r="P26" s="148"/>
      <c r="Q26" s="148"/>
    </row>
    <row r="27" spans="1:17" s="146" customFormat="1" ht="36" x14ac:dyDescent="0.25">
      <c r="A27" s="127">
        <v>20</v>
      </c>
      <c r="B27" s="60" t="s">
        <v>908</v>
      </c>
      <c r="C27" s="10" t="str">
        <f>"A-51/2014-21"</f>
        <v>A-51/2014-21</v>
      </c>
      <c r="D27" s="129">
        <v>42461</v>
      </c>
      <c r="E27" s="127"/>
      <c r="F27" s="37">
        <v>121928.5</v>
      </c>
      <c r="G27" s="151">
        <v>121952</v>
      </c>
      <c r="H27" s="126" t="s">
        <v>1100</v>
      </c>
      <c r="I27" s="156" t="s">
        <v>1537</v>
      </c>
      <c r="J27" s="72"/>
      <c r="K27" s="145"/>
      <c r="L27" s="148"/>
      <c r="M27" s="158"/>
      <c r="N27" s="148"/>
      <c r="O27" s="148"/>
      <c r="P27" s="148"/>
      <c r="Q27" s="148"/>
    </row>
    <row r="28" spans="1:17" s="146" customFormat="1" x14ac:dyDescent="0.25">
      <c r="A28" s="127">
        <v>21</v>
      </c>
      <c r="B28" s="60" t="s">
        <v>973</v>
      </c>
      <c r="C28" s="10" t="str">
        <f>"4-2016"</f>
        <v>4-2016</v>
      </c>
      <c r="D28" s="129">
        <v>42424</v>
      </c>
      <c r="E28" s="127"/>
      <c r="F28" s="37">
        <v>3622.08</v>
      </c>
      <c r="G28" s="151">
        <v>4527.6000000000004</v>
      </c>
      <c r="H28" s="164"/>
      <c r="I28" s="171" t="s">
        <v>1101</v>
      </c>
      <c r="J28" s="72"/>
      <c r="K28" s="145"/>
      <c r="L28" s="148"/>
      <c r="M28" s="158"/>
      <c r="N28" s="148"/>
      <c r="O28" s="148"/>
      <c r="P28" s="148"/>
      <c r="Q28" s="148"/>
    </row>
    <row r="29" spans="1:17" s="146" customFormat="1" ht="24" x14ac:dyDescent="0.25">
      <c r="A29" s="127">
        <v>22</v>
      </c>
      <c r="B29" s="60" t="s">
        <v>910</v>
      </c>
      <c r="C29" s="10" t="str">
        <f>"DP-029/1-006240/16"</f>
        <v>DP-029/1-006240/16</v>
      </c>
      <c r="D29" s="129">
        <v>42488</v>
      </c>
      <c r="E29" s="127"/>
      <c r="F29" s="37">
        <v>637233.04</v>
      </c>
      <c r="G29" s="151">
        <v>637438.84</v>
      </c>
      <c r="H29" s="126" t="s">
        <v>1102</v>
      </c>
      <c r="I29" s="156" t="s">
        <v>1538</v>
      </c>
      <c r="J29" s="72"/>
      <c r="K29" s="145"/>
      <c r="L29" s="148"/>
      <c r="M29" s="158"/>
      <c r="N29" s="148"/>
      <c r="O29" s="148"/>
      <c r="P29" s="148"/>
      <c r="Q29" s="148"/>
    </row>
    <row r="30" spans="1:17" s="146" customFormat="1" ht="24" x14ac:dyDescent="0.25">
      <c r="A30" s="127">
        <v>23</v>
      </c>
      <c r="B30" s="60" t="s">
        <v>828</v>
      </c>
      <c r="C30" s="10" t="str">
        <f>"DP-02/9/6-00692/16"</f>
        <v>DP-02/9/6-00692/16</v>
      </c>
      <c r="D30" s="129">
        <v>42461</v>
      </c>
      <c r="E30" s="127"/>
      <c r="F30" s="37">
        <v>5103.22</v>
      </c>
      <c r="G30" s="151">
        <v>5184.7</v>
      </c>
      <c r="H30" s="126" t="s">
        <v>1100</v>
      </c>
      <c r="I30" s="156" t="s">
        <v>1539</v>
      </c>
      <c r="J30" s="72"/>
      <c r="K30" s="145"/>
      <c r="L30" s="148"/>
      <c r="M30" s="158"/>
      <c r="N30" s="148"/>
      <c r="O30" s="148"/>
      <c r="P30" s="148"/>
      <c r="Q30" s="148"/>
    </row>
    <row r="31" spans="1:17" s="146" customFormat="1" ht="24" x14ac:dyDescent="0.25">
      <c r="A31" s="127">
        <v>24</v>
      </c>
      <c r="B31" s="60" t="s">
        <v>974</v>
      </c>
      <c r="C31" s="10" t="str">
        <f>"030-08/16-01/3"</f>
        <v>030-08/16-01/3</v>
      </c>
      <c r="D31" s="129">
        <v>42480</v>
      </c>
      <c r="E31" s="129">
        <v>43155</v>
      </c>
      <c r="F31" s="37">
        <v>183347.7</v>
      </c>
      <c r="G31" s="151">
        <v>183347.7</v>
      </c>
      <c r="H31" s="126" t="s">
        <v>1100</v>
      </c>
      <c r="I31" s="156" t="s">
        <v>1540</v>
      </c>
      <c r="J31" s="72"/>
      <c r="K31" s="145"/>
      <c r="L31" s="148"/>
      <c r="M31" s="158"/>
      <c r="N31" s="148"/>
      <c r="O31" s="148"/>
      <c r="P31" s="148"/>
      <c r="Q31" s="148"/>
    </row>
    <row r="32" spans="1:17" s="146" customFormat="1" ht="24" x14ac:dyDescent="0.25">
      <c r="A32" s="127">
        <v>25</v>
      </c>
      <c r="B32" s="60" t="s">
        <v>590</v>
      </c>
      <c r="C32" s="10" t="str">
        <f>"406-07/16-02/4"</f>
        <v>406-07/16-02/4</v>
      </c>
      <c r="D32" s="129">
        <v>42450</v>
      </c>
      <c r="E32" s="129">
        <v>43155</v>
      </c>
      <c r="F32" s="37">
        <v>399999.73</v>
      </c>
      <c r="G32" s="151">
        <v>399999.73</v>
      </c>
      <c r="H32" s="126" t="s">
        <v>1100</v>
      </c>
      <c r="I32" s="156" t="s">
        <v>1541</v>
      </c>
      <c r="J32" s="72"/>
      <c r="K32" s="145"/>
      <c r="L32" s="148"/>
      <c r="M32" s="158"/>
      <c r="N32" s="148"/>
      <c r="O32" s="148"/>
      <c r="P32" s="148"/>
      <c r="Q32" s="148"/>
    </row>
    <row r="33" spans="1:17" s="146" customFormat="1" ht="24" x14ac:dyDescent="0.25">
      <c r="A33" s="127">
        <v>26</v>
      </c>
      <c r="B33" s="60" t="s">
        <v>754</v>
      </c>
      <c r="C33" s="10" t="str">
        <f>"DP-02/9/4-007186/16"</f>
        <v>DP-02/9/4-007186/16</v>
      </c>
      <c r="D33" s="129">
        <v>42461</v>
      </c>
      <c r="E33" s="129">
        <v>43190</v>
      </c>
      <c r="F33" s="37">
        <v>9170.98</v>
      </c>
      <c r="G33" s="151">
        <v>9232.15</v>
      </c>
      <c r="H33" s="126" t="s">
        <v>1100</v>
      </c>
      <c r="I33" s="156" t="s">
        <v>1542</v>
      </c>
      <c r="J33" s="72"/>
      <c r="K33" s="145"/>
      <c r="L33" s="148"/>
      <c r="M33" s="158"/>
      <c r="N33" s="148"/>
      <c r="O33" s="148"/>
      <c r="P33" s="148"/>
      <c r="Q33" s="148"/>
    </row>
    <row r="34" spans="1:17" s="146" customFormat="1" ht="24" x14ac:dyDescent="0.25">
      <c r="A34" s="127">
        <v>27</v>
      </c>
      <c r="B34" s="60" t="s">
        <v>187</v>
      </c>
      <c r="C34" s="10" t="str">
        <f>"802/02-16/01OS-U1"</f>
        <v>802/02-16/01OS-U1</v>
      </c>
      <c r="D34" s="129">
        <v>42485</v>
      </c>
      <c r="E34" s="129">
        <v>42850</v>
      </c>
      <c r="F34" s="37">
        <v>386325.11</v>
      </c>
      <c r="G34" s="151">
        <v>386564.05</v>
      </c>
      <c r="H34" s="126" t="s">
        <v>1105</v>
      </c>
      <c r="I34" s="156" t="s">
        <v>1543</v>
      </c>
      <c r="J34" s="72"/>
      <c r="K34" s="145"/>
      <c r="L34" s="148"/>
      <c r="M34" s="158"/>
      <c r="N34" s="148"/>
      <c r="O34" s="148"/>
      <c r="P34" s="148"/>
      <c r="Q34" s="148"/>
    </row>
    <row r="35" spans="1:17" s="146" customFormat="1" ht="24" x14ac:dyDescent="0.25">
      <c r="A35" s="127">
        <v>28</v>
      </c>
      <c r="B35" s="60" t="s">
        <v>203</v>
      </c>
      <c r="C35" s="10" t="str">
        <f>"U-4-MV/16"</f>
        <v>U-4-MV/16</v>
      </c>
      <c r="D35" s="129">
        <v>42452</v>
      </c>
      <c r="E35" s="129">
        <v>42817</v>
      </c>
      <c r="F35" s="37">
        <v>223160.09</v>
      </c>
      <c r="G35" s="151">
        <v>278950.11</v>
      </c>
      <c r="H35" s="126" t="s">
        <v>1513</v>
      </c>
      <c r="I35" s="156" t="s">
        <v>1544</v>
      </c>
      <c r="J35" s="72"/>
      <c r="K35" s="145"/>
      <c r="L35" s="148"/>
      <c r="M35" s="158"/>
      <c r="N35" s="148"/>
      <c r="O35" s="148"/>
      <c r="P35" s="148"/>
      <c r="Q35" s="148"/>
    </row>
    <row r="36" spans="1:17" s="146" customFormat="1" ht="24" x14ac:dyDescent="0.25">
      <c r="A36" s="127">
        <v>29</v>
      </c>
      <c r="B36" s="60" t="s">
        <v>926</v>
      </c>
      <c r="C36" s="10" t="str">
        <f>"DP-02/9/5-006865/16"</f>
        <v>DP-02/9/5-006865/16</v>
      </c>
      <c r="D36" s="129">
        <v>42452</v>
      </c>
      <c r="E36" s="127"/>
      <c r="F36" s="37">
        <v>2006.35</v>
      </c>
      <c r="G36" s="151">
        <v>2006.35</v>
      </c>
      <c r="H36" s="126" t="s">
        <v>1100</v>
      </c>
      <c r="I36" s="156" t="s">
        <v>1545</v>
      </c>
      <c r="J36" s="72"/>
      <c r="K36" s="145"/>
      <c r="L36" s="148"/>
      <c r="M36" s="158"/>
      <c r="N36" s="148"/>
      <c r="O36" s="148"/>
      <c r="P36" s="148"/>
      <c r="Q36" s="148"/>
    </row>
    <row r="37" spans="1:17" s="146" customFormat="1" ht="24" x14ac:dyDescent="0.25">
      <c r="A37" s="127">
        <v>30</v>
      </c>
      <c r="B37" s="60" t="s">
        <v>473</v>
      </c>
      <c r="C37" s="10" t="str">
        <f>"DP-02/9/4-009072/16"</f>
        <v>DP-02/9/4-009072/16</v>
      </c>
      <c r="D37" s="129">
        <v>42482</v>
      </c>
      <c r="E37" s="127"/>
      <c r="F37" s="37">
        <v>10712.04</v>
      </c>
      <c r="G37" s="151">
        <v>11059.28</v>
      </c>
      <c r="H37" s="126" t="s">
        <v>1100</v>
      </c>
      <c r="I37" s="156" t="s">
        <v>1546</v>
      </c>
      <c r="J37" s="72"/>
      <c r="K37" s="145"/>
      <c r="L37" s="148"/>
      <c r="M37" s="158"/>
      <c r="N37" s="148"/>
      <c r="O37" s="148"/>
      <c r="P37" s="148"/>
      <c r="Q37" s="148"/>
    </row>
    <row r="38" spans="1:17" s="146" customFormat="1" ht="24" x14ac:dyDescent="0.25">
      <c r="A38" s="127">
        <v>31</v>
      </c>
      <c r="B38" s="60" t="s">
        <v>800</v>
      </c>
      <c r="C38" s="10" t="str">
        <f>"DP-02/9/5-008247/16"</f>
        <v>DP-02/9/5-008247/16</v>
      </c>
      <c r="D38" s="129">
        <v>42482</v>
      </c>
      <c r="E38" s="127"/>
      <c r="F38" s="37">
        <v>10465.379999999999</v>
      </c>
      <c r="G38" s="151">
        <v>10685.26</v>
      </c>
      <c r="H38" s="126" t="s">
        <v>1472</v>
      </c>
      <c r="I38" s="156" t="s">
        <v>1547</v>
      </c>
      <c r="J38" s="72"/>
      <c r="K38" s="145"/>
      <c r="L38" s="148"/>
      <c r="M38" s="158"/>
      <c r="N38" s="148"/>
      <c r="O38" s="148"/>
      <c r="P38" s="148"/>
      <c r="Q38" s="148"/>
    </row>
    <row r="39" spans="1:17" s="146" customFormat="1" x14ac:dyDescent="0.25">
      <c r="A39" s="127">
        <v>32</v>
      </c>
      <c r="B39" s="60" t="s">
        <v>715</v>
      </c>
      <c r="C39" s="10" t="str">
        <f>"462/15"</f>
        <v>462/15</v>
      </c>
      <c r="D39" s="129">
        <v>42452</v>
      </c>
      <c r="E39" s="129">
        <v>43155</v>
      </c>
      <c r="F39" s="37">
        <v>51455.16</v>
      </c>
      <c r="G39" s="151">
        <v>51496.5</v>
      </c>
      <c r="H39" s="126" t="s">
        <v>1100</v>
      </c>
      <c r="I39" s="156" t="s">
        <v>1548</v>
      </c>
      <c r="J39" s="72"/>
      <c r="K39" s="145"/>
      <c r="L39" s="148"/>
      <c r="M39" s="158"/>
      <c r="N39" s="148"/>
      <c r="O39" s="148"/>
      <c r="P39" s="148"/>
      <c r="Q39" s="148"/>
    </row>
    <row r="40" spans="1:17" s="146" customFormat="1" ht="24" x14ac:dyDescent="0.25">
      <c r="A40" s="127">
        <v>33</v>
      </c>
      <c r="B40" s="60" t="s">
        <v>868</v>
      </c>
      <c r="C40" s="10" t="str">
        <f>"DP-02/9/9-9115/16"</f>
        <v>DP-02/9/9-9115/16</v>
      </c>
      <c r="D40" s="129">
        <v>42478</v>
      </c>
      <c r="E40" s="129">
        <v>43155</v>
      </c>
      <c r="F40" s="37">
        <v>324815.8</v>
      </c>
      <c r="G40" s="152"/>
      <c r="H40" s="126" t="s">
        <v>1100</v>
      </c>
      <c r="I40" s="156" t="s">
        <v>1549</v>
      </c>
      <c r="J40" s="72"/>
      <c r="K40" s="145"/>
      <c r="L40" s="148"/>
      <c r="M40" s="158"/>
      <c r="N40" s="148"/>
      <c r="O40" s="148"/>
      <c r="P40" s="148"/>
      <c r="Q40" s="148"/>
    </row>
    <row r="41" spans="1:17" s="146" customFormat="1" ht="36" x14ac:dyDescent="0.25">
      <c r="A41" s="127">
        <v>34</v>
      </c>
      <c r="B41" s="60" t="s">
        <v>801</v>
      </c>
      <c r="C41" s="10" t="str">
        <f>"150/16"</f>
        <v>150/16</v>
      </c>
      <c r="D41" s="129">
        <v>42452</v>
      </c>
      <c r="E41" s="127"/>
      <c r="F41" s="37">
        <v>1600</v>
      </c>
      <c r="G41" s="151">
        <v>2000</v>
      </c>
      <c r="H41" s="126" t="s">
        <v>1100</v>
      </c>
      <c r="I41" s="156" t="s">
        <v>1550</v>
      </c>
      <c r="J41" s="72"/>
      <c r="K41" s="145"/>
      <c r="L41" s="148"/>
      <c r="M41" s="158"/>
      <c r="N41" s="148"/>
      <c r="O41" s="148"/>
      <c r="P41" s="148"/>
      <c r="Q41" s="148"/>
    </row>
    <row r="42" spans="1:17" s="146" customFormat="1" ht="36" x14ac:dyDescent="0.25">
      <c r="A42" s="127">
        <v>35</v>
      </c>
      <c r="B42" s="60" t="s">
        <v>840</v>
      </c>
      <c r="C42" s="10" t="str">
        <f>"406/09/16-03/13"</f>
        <v>406/09/16-03/13</v>
      </c>
      <c r="D42" s="129">
        <v>42492</v>
      </c>
      <c r="E42" s="129">
        <v>43155</v>
      </c>
      <c r="F42" s="37">
        <v>9729.92</v>
      </c>
      <c r="G42" s="151">
        <v>9894.52</v>
      </c>
      <c r="H42" s="126" t="s">
        <v>1100</v>
      </c>
      <c r="I42" s="156" t="s">
        <v>1551</v>
      </c>
      <c r="J42" s="72"/>
      <c r="K42" s="145"/>
      <c r="L42" s="148"/>
      <c r="M42" s="158"/>
      <c r="N42" s="148"/>
      <c r="O42" s="148"/>
      <c r="P42" s="148"/>
      <c r="Q42" s="148"/>
    </row>
    <row r="43" spans="1:17" s="146" customFormat="1" ht="24" x14ac:dyDescent="0.25">
      <c r="A43" s="127">
        <v>36</v>
      </c>
      <c r="B43" s="60" t="s">
        <v>551</v>
      </c>
      <c r="C43" s="10" t="str">
        <f>"DP-02/9/3-6559/16"</f>
        <v>DP-02/9/3-6559/16</v>
      </c>
      <c r="D43" s="129">
        <v>42453</v>
      </c>
      <c r="E43" s="129">
        <v>43155</v>
      </c>
      <c r="F43" s="37">
        <v>57212.25</v>
      </c>
      <c r="G43" s="151">
        <v>67505.25</v>
      </c>
      <c r="H43" s="126" t="s">
        <v>1100</v>
      </c>
      <c r="I43" s="156" t="s">
        <v>1552</v>
      </c>
      <c r="J43" s="72"/>
      <c r="K43" s="145"/>
      <c r="L43" s="148"/>
      <c r="M43" s="158"/>
      <c r="N43" s="148"/>
      <c r="O43" s="148"/>
      <c r="P43" s="148"/>
      <c r="Q43" s="148"/>
    </row>
    <row r="44" spans="1:17" s="146" customFormat="1" ht="24" x14ac:dyDescent="0.25">
      <c r="A44" s="127">
        <v>37</v>
      </c>
      <c r="B44" s="60" t="s">
        <v>958</v>
      </c>
      <c r="C44" s="10" t="str">
        <f>"PU"</f>
        <v>PU</v>
      </c>
      <c r="D44" s="129">
        <v>42461</v>
      </c>
      <c r="E44" s="129">
        <v>43155</v>
      </c>
      <c r="F44" s="37">
        <v>64007</v>
      </c>
      <c r="G44" s="151">
        <v>80008.75</v>
      </c>
      <c r="H44" s="126" t="s">
        <v>1100</v>
      </c>
      <c r="I44" s="156" t="s">
        <v>1553</v>
      </c>
      <c r="J44" s="72"/>
      <c r="K44" s="145"/>
      <c r="L44" s="148"/>
      <c r="M44" s="158"/>
      <c r="N44" s="148"/>
      <c r="O44" s="148"/>
      <c r="P44" s="148"/>
      <c r="Q44" s="148"/>
    </row>
    <row r="45" spans="1:17" s="146" customFormat="1" ht="24" x14ac:dyDescent="0.25">
      <c r="A45" s="127">
        <v>38</v>
      </c>
      <c r="B45" s="60" t="s">
        <v>544</v>
      </c>
      <c r="C45" s="10" t="str">
        <f>"8/2016"</f>
        <v>8/2016</v>
      </c>
      <c r="D45" s="129">
        <v>42424</v>
      </c>
      <c r="E45" s="127"/>
      <c r="F45" s="37">
        <v>11561</v>
      </c>
      <c r="G45" s="151">
        <v>14451.25</v>
      </c>
      <c r="H45" s="126" t="s">
        <v>1100</v>
      </c>
      <c r="I45" s="156" t="s">
        <v>1554</v>
      </c>
      <c r="J45" s="72"/>
      <c r="K45" s="145"/>
      <c r="L45" s="148"/>
      <c r="M45" s="158"/>
      <c r="N45" s="148"/>
      <c r="O45" s="148"/>
      <c r="P45" s="148"/>
      <c r="Q45" s="148"/>
    </row>
    <row r="46" spans="1:17" s="146" customFormat="1" ht="24" x14ac:dyDescent="0.25">
      <c r="A46" s="127">
        <v>39</v>
      </c>
      <c r="B46" s="60" t="s">
        <v>499</v>
      </c>
      <c r="C46" s="10" t="str">
        <f>"DP-02/9/1-007480/16"</f>
        <v>DP-02/9/1-007480/16</v>
      </c>
      <c r="D46" s="129">
        <v>42461</v>
      </c>
      <c r="E46" s="127"/>
      <c r="F46" s="37">
        <v>11966.7</v>
      </c>
      <c r="G46" s="151">
        <v>11966.7</v>
      </c>
      <c r="H46" s="126" t="s">
        <v>1100</v>
      </c>
      <c r="I46" s="156" t="s">
        <v>1555</v>
      </c>
      <c r="J46" s="72"/>
      <c r="K46" s="145"/>
      <c r="L46" s="148"/>
      <c r="M46" s="158"/>
      <c r="N46" s="148"/>
      <c r="O46" s="148"/>
      <c r="P46" s="148"/>
      <c r="Q46" s="148"/>
    </row>
    <row r="47" spans="1:17" s="146" customFormat="1" ht="24" x14ac:dyDescent="0.25">
      <c r="A47" s="127">
        <v>40</v>
      </c>
      <c r="B47" s="60" t="s">
        <v>821</v>
      </c>
      <c r="C47" s="10" t="str">
        <f>"DP-02/9/2-006323/16"</f>
        <v>DP-02/9/2-006323/16</v>
      </c>
      <c r="D47" s="129">
        <v>42461</v>
      </c>
      <c r="E47" s="127"/>
      <c r="F47" s="37">
        <v>57590.11</v>
      </c>
      <c r="G47" s="151">
        <v>57722.7</v>
      </c>
      <c r="H47" s="126" t="s">
        <v>1100</v>
      </c>
      <c r="I47" s="156" t="s">
        <v>1556</v>
      </c>
      <c r="J47" s="72"/>
      <c r="K47" s="145"/>
      <c r="L47" s="148"/>
      <c r="M47" s="158"/>
      <c r="N47" s="148"/>
      <c r="O47" s="148"/>
      <c r="P47" s="148"/>
      <c r="Q47" s="148"/>
    </row>
    <row r="48" spans="1:17" s="146" customFormat="1" ht="24" x14ac:dyDescent="0.25">
      <c r="A48" s="127">
        <v>41</v>
      </c>
      <c r="B48" s="60" t="s">
        <v>607</v>
      </c>
      <c r="C48" s="10" t="str">
        <f>"DP-02/9/5-008952/16"</f>
        <v>DP-02/9/5-008952/16</v>
      </c>
      <c r="D48" s="129">
        <v>42484</v>
      </c>
      <c r="E48" s="129">
        <v>43214</v>
      </c>
      <c r="F48" s="37">
        <v>12154.76</v>
      </c>
      <c r="G48" s="151">
        <v>15193.45</v>
      </c>
      <c r="H48" s="126" t="s">
        <v>1100</v>
      </c>
      <c r="I48" s="156" t="s">
        <v>1557</v>
      </c>
      <c r="J48" s="72"/>
      <c r="K48" s="145"/>
      <c r="L48" s="148"/>
      <c r="M48" s="158"/>
      <c r="N48" s="148"/>
      <c r="O48" s="148"/>
      <c r="P48" s="148"/>
      <c r="Q48" s="148"/>
    </row>
    <row r="49" spans="1:17" s="146" customFormat="1" ht="24" x14ac:dyDescent="0.25">
      <c r="A49" s="127">
        <v>42</v>
      </c>
      <c r="B49" s="60" t="s">
        <v>535</v>
      </c>
      <c r="C49" s="10" t="str">
        <f>"POŠTA 402-06/16-01/26"</f>
        <v>POŠTA 402-06/16-01/26</v>
      </c>
      <c r="D49" s="140" t="s">
        <v>999</v>
      </c>
      <c r="E49" s="129">
        <v>43100</v>
      </c>
      <c r="F49" s="37">
        <v>21752.2</v>
      </c>
      <c r="G49" s="151">
        <v>27190.25</v>
      </c>
      <c r="H49" s="126" t="s">
        <v>1102</v>
      </c>
      <c r="I49" s="156" t="s">
        <v>1558</v>
      </c>
      <c r="J49" s="72"/>
      <c r="K49" s="145"/>
      <c r="L49" s="148"/>
      <c r="M49" s="158"/>
      <c r="N49" s="148"/>
      <c r="O49" s="148"/>
      <c r="P49" s="148"/>
      <c r="Q49" s="148"/>
    </row>
    <row r="50" spans="1:17" s="146" customFormat="1" ht="36" x14ac:dyDescent="0.25">
      <c r="A50" s="127">
        <v>43</v>
      </c>
      <c r="B50" s="60" t="s">
        <v>484</v>
      </c>
      <c r="C50" s="10" t="str">
        <f>"DP-02/9/3-018809/17"</f>
        <v>DP-02/9/3-018809/17</v>
      </c>
      <c r="D50" s="129">
        <v>43020</v>
      </c>
      <c r="E50" s="129">
        <v>43155</v>
      </c>
      <c r="F50" s="37">
        <v>13157</v>
      </c>
      <c r="G50" s="151">
        <v>13556</v>
      </c>
      <c r="H50" s="126" t="s">
        <v>1100</v>
      </c>
      <c r="I50" s="156" t="s">
        <v>1559</v>
      </c>
      <c r="J50" s="72"/>
      <c r="K50" s="145"/>
      <c r="L50" s="148"/>
      <c r="M50" s="158"/>
      <c r="N50" s="148"/>
      <c r="O50" s="148"/>
      <c r="P50" s="148"/>
      <c r="Q50" s="148"/>
    </row>
    <row r="51" spans="1:17" s="146" customFormat="1" ht="24" x14ac:dyDescent="0.25">
      <c r="A51" s="127">
        <v>44</v>
      </c>
      <c r="B51" s="60" t="s">
        <v>666</v>
      </c>
      <c r="C51" s="10" t="str">
        <f>"U-151/17"</f>
        <v>U-151/17</v>
      </c>
      <c r="D51" s="129">
        <v>42992</v>
      </c>
      <c r="E51" s="129">
        <v>43155</v>
      </c>
      <c r="F51" s="37">
        <v>13077.63</v>
      </c>
      <c r="G51" s="151">
        <v>16347.04</v>
      </c>
      <c r="H51" s="164"/>
      <c r="I51" s="171" t="s">
        <v>1101</v>
      </c>
      <c r="J51" s="72"/>
      <c r="K51" s="145"/>
      <c r="L51" s="148"/>
      <c r="M51" s="158"/>
      <c r="N51" s="148"/>
      <c r="O51" s="148"/>
      <c r="P51" s="148"/>
      <c r="Q51" s="148"/>
    </row>
    <row r="52" spans="1:17" s="146" customFormat="1" ht="24" x14ac:dyDescent="0.25">
      <c r="A52" s="127">
        <v>45</v>
      </c>
      <c r="B52" s="60" t="s">
        <v>666</v>
      </c>
      <c r="C52" s="10" t="str">
        <f>"U-151/17"</f>
        <v>U-151/17</v>
      </c>
      <c r="D52" s="129">
        <v>43117</v>
      </c>
      <c r="E52" s="129">
        <v>43159</v>
      </c>
      <c r="F52" s="37">
        <v>13077.63</v>
      </c>
      <c r="G52" s="151">
        <v>16347.04</v>
      </c>
      <c r="H52" s="164"/>
      <c r="I52" s="171" t="s">
        <v>1101</v>
      </c>
      <c r="J52" s="72"/>
      <c r="K52" s="145"/>
      <c r="L52" s="148"/>
      <c r="M52" s="158"/>
      <c r="N52" s="148"/>
      <c r="O52" s="148"/>
      <c r="P52" s="148"/>
      <c r="Q52" s="148"/>
    </row>
    <row r="53" spans="1:17" s="146" customFormat="1" ht="24" x14ac:dyDescent="0.25">
      <c r="A53" s="127">
        <v>46</v>
      </c>
      <c r="B53" s="60" t="s">
        <v>656</v>
      </c>
      <c r="C53" s="10" t="str">
        <f>"POŠTA/17"</f>
        <v>POŠTA/17</v>
      </c>
      <c r="D53" s="129">
        <v>42914</v>
      </c>
      <c r="E53" s="129">
        <v>43155</v>
      </c>
      <c r="F53" s="37">
        <v>22168.05</v>
      </c>
      <c r="G53" s="151">
        <v>27710.06</v>
      </c>
      <c r="H53" s="126" t="s">
        <v>1100</v>
      </c>
      <c r="I53" s="156" t="s">
        <v>1560</v>
      </c>
      <c r="J53" s="72"/>
      <c r="K53" s="145"/>
      <c r="L53" s="148"/>
      <c r="M53" s="158"/>
      <c r="N53" s="148"/>
      <c r="O53" s="148"/>
      <c r="P53" s="148"/>
      <c r="Q53" s="148"/>
    </row>
    <row r="54" spans="1:17" s="146" customFormat="1" ht="36" x14ac:dyDescent="0.25">
      <c r="A54" s="127">
        <v>47</v>
      </c>
      <c r="B54" s="60" t="s">
        <v>686</v>
      </c>
      <c r="C54" s="10" t="str">
        <f>"UDU PGZ / 3 / 17"</f>
        <v>UDU PGZ / 3 / 17</v>
      </c>
      <c r="D54" s="129">
        <v>42921</v>
      </c>
      <c r="E54" s="129">
        <v>43155</v>
      </c>
      <c r="F54" s="37">
        <v>340520.63</v>
      </c>
      <c r="G54" s="151">
        <v>340535.23</v>
      </c>
      <c r="H54" s="126" t="s">
        <v>1100</v>
      </c>
      <c r="I54" s="156" t="s">
        <v>1561</v>
      </c>
      <c r="J54" s="72"/>
      <c r="K54" s="145"/>
      <c r="L54" s="148"/>
      <c r="M54" s="158"/>
      <c r="N54" s="148"/>
      <c r="O54" s="148"/>
      <c r="P54" s="148"/>
      <c r="Q54" s="148"/>
    </row>
    <row r="55" spans="1:17" s="146" customFormat="1" ht="36" x14ac:dyDescent="0.25">
      <c r="A55" s="127">
        <v>48</v>
      </c>
      <c r="B55" s="60" t="s">
        <v>813</v>
      </c>
      <c r="C55" s="10" t="str">
        <f>"406-01/15-01/46,DP-02-11901/17"</f>
        <v>406-01/15-01/46,DP-02-11901/17</v>
      </c>
      <c r="D55" s="129">
        <v>42898</v>
      </c>
      <c r="E55" s="129">
        <v>43155</v>
      </c>
      <c r="F55" s="37">
        <v>950391.69</v>
      </c>
      <c r="G55" s="151">
        <v>950391.69</v>
      </c>
      <c r="H55" s="128"/>
      <c r="I55" s="156" t="s">
        <v>1101</v>
      </c>
      <c r="J55" s="72"/>
      <c r="K55" s="145"/>
      <c r="L55" s="148"/>
      <c r="M55" s="158"/>
      <c r="N55" s="148"/>
      <c r="O55" s="148"/>
      <c r="P55" s="148"/>
      <c r="Q55" s="148"/>
    </row>
    <row r="56" spans="1:17" s="146" customFormat="1" ht="36" x14ac:dyDescent="0.25">
      <c r="A56" s="127">
        <v>49</v>
      </c>
      <c r="B56" s="60" t="s">
        <v>638</v>
      </c>
      <c r="C56" s="10" t="str">
        <f>"DP-O2-011570/17"</f>
        <v>DP-O2-011570/17</v>
      </c>
      <c r="D56" s="129">
        <v>42888</v>
      </c>
      <c r="E56" s="129">
        <v>43155</v>
      </c>
      <c r="F56" s="37">
        <v>988100.53</v>
      </c>
      <c r="G56" s="151">
        <v>988586.28</v>
      </c>
      <c r="H56" s="126" t="s">
        <v>1100</v>
      </c>
      <c r="I56" s="156" t="s">
        <v>1562</v>
      </c>
      <c r="J56" s="72"/>
      <c r="K56" s="145"/>
      <c r="L56" s="148"/>
      <c r="M56" s="158"/>
      <c r="N56" s="148"/>
      <c r="O56" s="148"/>
      <c r="P56" s="148"/>
      <c r="Q56" s="148"/>
    </row>
    <row r="57" spans="1:17" s="146" customFormat="1" ht="24" x14ac:dyDescent="0.25">
      <c r="A57" s="127">
        <v>50</v>
      </c>
      <c r="B57" s="60" t="s">
        <v>545</v>
      </c>
      <c r="C57" s="10" t="str">
        <f>"406-09/17-01/17"</f>
        <v>406-09/17-01/17</v>
      </c>
      <c r="D57" s="129">
        <v>42858</v>
      </c>
      <c r="E57" s="129">
        <v>43155</v>
      </c>
      <c r="F57" s="37">
        <v>0</v>
      </c>
      <c r="G57" s="151">
        <v>0</v>
      </c>
      <c r="H57" s="126" t="s">
        <v>1100</v>
      </c>
      <c r="I57" s="156" t="s">
        <v>1563</v>
      </c>
      <c r="J57" s="72"/>
      <c r="K57" s="145"/>
      <c r="L57" s="148"/>
      <c r="M57" s="158"/>
      <c r="N57" s="148"/>
      <c r="O57" s="148"/>
      <c r="P57" s="148"/>
      <c r="Q57" s="148"/>
    </row>
    <row r="58" spans="1:17" s="146" customFormat="1" ht="24" x14ac:dyDescent="0.25">
      <c r="A58" s="127">
        <v>51</v>
      </c>
      <c r="B58" s="60" t="s">
        <v>953</v>
      </c>
      <c r="C58" s="10" t="str">
        <f>"DP-02/9/1-005886/17"</f>
        <v>DP-02/9/1-005886/17</v>
      </c>
      <c r="D58" s="129">
        <v>42948</v>
      </c>
      <c r="E58" s="129">
        <v>43155</v>
      </c>
      <c r="F58" s="37">
        <v>23331.599999999999</v>
      </c>
      <c r="G58" s="151">
        <v>26707.599999999999</v>
      </c>
      <c r="H58" s="126" t="s">
        <v>1100</v>
      </c>
      <c r="I58" s="156" t="s">
        <v>1564</v>
      </c>
      <c r="J58" s="72"/>
      <c r="K58" s="145"/>
      <c r="L58" s="148"/>
      <c r="M58" s="158"/>
      <c r="N58" s="148"/>
      <c r="O58" s="148"/>
      <c r="P58" s="148"/>
      <c r="Q58" s="148"/>
    </row>
    <row r="59" spans="1:17" s="146" customFormat="1" ht="24" x14ac:dyDescent="0.25">
      <c r="A59" s="127">
        <v>52</v>
      </c>
      <c r="B59" s="60" t="s">
        <v>739</v>
      </c>
      <c r="C59" s="10" t="str">
        <f>"DP-02/9/2-008604/17"</f>
        <v>DP-02/9/2-008604/17</v>
      </c>
      <c r="D59" s="129">
        <v>42858</v>
      </c>
      <c r="E59" s="129">
        <v>43159</v>
      </c>
      <c r="F59" s="37">
        <v>282703.58</v>
      </c>
      <c r="G59" s="151">
        <v>283342.01</v>
      </c>
      <c r="H59" s="126" t="s">
        <v>1100</v>
      </c>
      <c r="I59" s="156" t="s">
        <v>1565</v>
      </c>
      <c r="J59" s="72"/>
      <c r="K59" s="145"/>
      <c r="L59" s="148"/>
      <c r="M59" s="158"/>
      <c r="N59" s="148"/>
      <c r="O59" s="148"/>
      <c r="P59" s="148"/>
      <c r="Q59" s="148"/>
    </row>
    <row r="60" spans="1:17" s="146" customFormat="1" ht="24" x14ac:dyDescent="0.25">
      <c r="A60" s="127">
        <v>53</v>
      </c>
      <c r="B60" s="60" t="s">
        <v>187</v>
      </c>
      <c r="C60" s="10" t="str">
        <f>"802/02-16/01OS-U2"</f>
        <v>802/02-16/01OS-U2</v>
      </c>
      <c r="D60" s="129">
        <v>42857</v>
      </c>
      <c r="E60" s="129">
        <v>43155</v>
      </c>
      <c r="F60" s="37">
        <v>312025.2</v>
      </c>
      <c r="G60" s="151">
        <v>390031.5</v>
      </c>
      <c r="H60" s="126" t="s">
        <v>1105</v>
      </c>
      <c r="I60" s="156" t="s">
        <v>1101</v>
      </c>
      <c r="J60" s="72"/>
      <c r="K60" s="145"/>
      <c r="L60" s="148"/>
      <c r="M60" s="158"/>
      <c r="N60" s="148"/>
      <c r="O60" s="148"/>
      <c r="P60" s="148"/>
      <c r="Q60" s="148"/>
    </row>
    <row r="61" spans="1:17" s="146" customFormat="1" ht="24" x14ac:dyDescent="0.25">
      <c r="A61" s="127">
        <v>54</v>
      </c>
      <c r="B61" s="60" t="s">
        <v>956</v>
      </c>
      <c r="C61" s="10" t="str">
        <f>"2/2017-109"</f>
        <v>2/2017-109</v>
      </c>
      <c r="D61" s="129">
        <v>42857</v>
      </c>
      <c r="E61" s="129">
        <v>43155</v>
      </c>
      <c r="F61" s="37">
        <v>21244</v>
      </c>
      <c r="G61" s="151">
        <v>26555</v>
      </c>
      <c r="H61" s="126" t="s">
        <v>1100</v>
      </c>
      <c r="I61" s="156" t="s">
        <v>1566</v>
      </c>
      <c r="J61" s="72"/>
      <c r="K61" s="145"/>
      <c r="L61" s="148"/>
      <c r="M61" s="158"/>
      <c r="N61" s="148"/>
      <c r="O61" s="148"/>
      <c r="P61" s="148"/>
      <c r="Q61" s="148"/>
    </row>
    <row r="62" spans="1:17" s="146" customFormat="1" ht="24" x14ac:dyDescent="0.25">
      <c r="A62" s="127">
        <v>55</v>
      </c>
      <c r="B62" s="60" t="s">
        <v>591</v>
      </c>
      <c r="C62" s="10" t="str">
        <f>"DP-02-001247/17"</f>
        <v>DP-02-001247/17</v>
      </c>
      <c r="D62" s="129">
        <v>42857</v>
      </c>
      <c r="E62" s="129">
        <v>43100</v>
      </c>
      <c r="F62" s="37">
        <v>114101.92</v>
      </c>
      <c r="G62" s="151">
        <v>116291.16</v>
      </c>
      <c r="H62" s="126" t="s">
        <v>1100</v>
      </c>
      <c r="I62" s="156" t="s">
        <v>1567</v>
      </c>
      <c r="J62" s="72"/>
      <c r="K62" s="145"/>
      <c r="L62" s="148"/>
      <c r="M62" s="158"/>
      <c r="N62" s="148"/>
      <c r="O62" s="148"/>
      <c r="P62" s="148"/>
      <c r="Q62" s="148"/>
    </row>
    <row r="63" spans="1:17" s="146" customFormat="1" ht="24" x14ac:dyDescent="0.25">
      <c r="A63" s="127">
        <v>56</v>
      </c>
      <c r="B63" s="60" t="s">
        <v>740</v>
      </c>
      <c r="C63" s="10" t="str">
        <f>"05/2017"</f>
        <v>05/2017</v>
      </c>
      <c r="D63" s="129">
        <v>42853</v>
      </c>
      <c r="E63" s="129">
        <v>43154</v>
      </c>
      <c r="F63" s="37">
        <v>106988.75</v>
      </c>
      <c r="G63" s="151">
        <v>106991.85</v>
      </c>
      <c r="H63" s="126" t="s">
        <v>1100</v>
      </c>
      <c r="I63" s="156" t="s">
        <v>1568</v>
      </c>
      <c r="J63" s="72"/>
      <c r="K63" s="145"/>
      <c r="L63" s="148"/>
      <c r="M63" s="158"/>
      <c r="N63" s="148"/>
      <c r="O63" s="148"/>
      <c r="P63" s="148"/>
      <c r="Q63" s="148"/>
    </row>
    <row r="64" spans="1:17" s="146" customFormat="1" ht="24" x14ac:dyDescent="0.25">
      <c r="A64" s="127">
        <v>57</v>
      </c>
      <c r="B64" s="60" t="s">
        <v>508</v>
      </c>
      <c r="C64" s="10" t="str">
        <f>"03-3040/1-2017"</f>
        <v>03-3040/1-2017</v>
      </c>
      <c r="D64" s="129">
        <v>42850</v>
      </c>
      <c r="E64" s="129">
        <v>43155</v>
      </c>
      <c r="F64" s="37">
        <v>79297.45</v>
      </c>
      <c r="G64" s="151">
        <v>81109.87</v>
      </c>
      <c r="H64" s="126" t="s">
        <v>1100</v>
      </c>
      <c r="I64" s="156" t="s">
        <v>1569</v>
      </c>
      <c r="J64" s="72"/>
      <c r="K64" s="145"/>
      <c r="L64" s="148"/>
      <c r="M64" s="158"/>
      <c r="N64" s="148"/>
      <c r="O64" s="148"/>
      <c r="P64" s="148"/>
      <c r="Q64" s="148"/>
    </row>
    <row r="65" spans="1:17" s="146" customFormat="1" x14ac:dyDescent="0.25">
      <c r="A65" s="127">
        <v>58</v>
      </c>
      <c r="B65" s="60" t="s">
        <v>478</v>
      </c>
      <c r="C65" s="10" t="str">
        <f>"II--6/2017"</f>
        <v>II--6/2017</v>
      </c>
      <c r="D65" s="129">
        <v>42839</v>
      </c>
      <c r="E65" s="129">
        <v>43155</v>
      </c>
      <c r="F65" s="37">
        <v>7666.81</v>
      </c>
      <c r="G65" s="151">
        <v>7806.55</v>
      </c>
      <c r="H65" s="126" t="s">
        <v>1100</v>
      </c>
      <c r="I65" s="156" t="s">
        <v>1570</v>
      </c>
      <c r="J65" s="72"/>
      <c r="K65" s="145"/>
      <c r="L65" s="148"/>
      <c r="M65" s="158"/>
      <c r="N65" s="148"/>
      <c r="O65" s="148"/>
      <c r="P65" s="148"/>
      <c r="Q65" s="148"/>
    </row>
    <row r="66" spans="1:17" s="146" customFormat="1" ht="24" x14ac:dyDescent="0.25">
      <c r="A66" s="127">
        <v>59</v>
      </c>
      <c r="B66" s="60" t="s">
        <v>693</v>
      </c>
      <c r="C66" s="10" t="str">
        <f>"406-01/17-01/0011"</f>
        <v>406-01/17-01/0011</v>
      </c>
      <c r="D66" s="129">
        <v>42838</v>
      </c>
      <c r="E66" s="129">
        <v>43155</v>
      </c>
      <c r="F66" s="37">
        <v>72000.11</v>
      </c>
      <c r="G66" s="151">
        <v>90000.14</v>
      </c>
      <c r="H66" s="126" t="s">
        <v>1102</v>
      </c>
      <c r="I66" s="156" t="s">
        <v>1571</v>
      </c>
      <c r="J66" s="72"/>
      <c r="K66" s="145"/>
      <c r="L66" s="148"/>
      <c r="M66" s="158"/>
      <c r="N66" s="148"/>
      <c r="O66" s="148"/>
      <c r="P66" s="148"/>
      <c r="Q66" s="148"/>
    </row>
    <row r="67" spans="1:17" s="146" customFormat="1" ht="24" x14ac:dyDescent="0.25">
      <c r="A67" s="127">
        <v>60</v>
      </c>
      <c r="B67" s="60" t="s">
        <v>210</v>
      </c>
      <c r="C67" s="10" t="str">
        <f>"PU - 406-01/16-01/36"</f>
        <v>PU - 406-01/16-01/36</v>
      </c>
      <c r="D67" s="129">
        <v>42849</v>
      </c>
      <c r="E67" s="129">
        <v>43159</v>
      </c>
      <c r="F67" s="37">
        <v>40661436.25</v>
      </c>
      <c r="G67" s="151">
        <v>40667900.600000001</v>
      </c>
      <c r="H67" s="126" t="s">
        <v>1100</v>
      </c>
      <c r="I67" s="156" t="s">
        <v>1101</v>
      </c>
      <c r="J67" s="72"/>
      <c r="K67" s="145"/>
      <c r="L67" s="148"/>
      <c r="M67" s="158"/>
      <c r="N67" s="148"/>
      <c r="O67" s="148"/>
      <c r="P67" s="148"/>
      <c r="Q67" s="148"/>
    </row>
    <row r="68" spans="1:17" s="146" customFormat="1" ht="24" x14ac:dyDescent="0.25">
      <c r="A68" s="127">
        <v>61</v>
      </c>
      <c r="B68" s="60" t="s">
        <v>929</v>
      </c>
      <c r="C68" s="10" t="str">
        <f>"04/17"</f>
        <v>04/17</v>
      </c>
      <c r="D68" s="129">
        <v>42836</v>
      </c>
      <c r="E68" s="129">
        <v>42790</v>
      </c>
      <c r="F68" s="37">
        <v>2845.5</v>
      </c>
      <c r="G68" s="151">
        <v>2845.5</v>
      </c>
      <c r="H68" s="126" t="s">
        <v>1100</v>
      </c>
      <c r="I68" s="156" t="s">
        <v>1572</v>
      </c>
      <c r="J68" s="72"/>
      <c r="K68" s="145"/>
      <c r="L68" s="148"/>
      <c r="M68" s="158"/>
      <c r="N68" s="148"/>
      <c r="O68" s="148"/>
      <c r="P68" s="148"/>
      <c r="Q68" s="148"/>
    </row>
    <row r="69" spans="1:17" s="146" customFormat="1" ht="24" x14ac:dyDescent="0.25">
      <c r="A69" s="127">
        <v>62</v>
      </c>
      <c r="B69" s="60" t="s">
        <v>672</v>
      </c>
      <c r="C69" s="10" t="str">
        <f>"DP-02/9/2-006545/17"</f>
        <v>DP-02/9/2-006545/17</v>
      </c>
      <c r="D69" s="129">
        <v>42829</v>
      </c>
      <c r="E69" s="129">
        <v>43155</v>
      </c>
      <c r="F69" s="37">
        <v>4486.7</v>
      </c>
      <c r="G69" s="151">
        <v>4486.7</v>
      </c>
      <c r="H69" s="126" t="s">
        <v>1100</v>
      </c>
      <c r="I69" s="156" t="s">
        <v>1573</v>
      </c>
      <c r="J69" s="72"/>
      <c r="K69" s="145"/>
      <c r="L69" s="148"/>
      <c r="M69" s="158"/>
      <c r="N69" s="148"/>
      <c r="O69" s="148"/>
      <c r="P69" s="148"/>
      <c r="Q69" s="148"/>
    </row>
    <row r="70" spans="1:17" s="146" customFormat="1" x14ac:dyDescent="0.25">
      <c r="A70" s="127">
        <v>63</v>
      </c>
      <c r="B70" s="60" t="s">
        <v>198</v>
      </c>
      <c r="C70" s="10" t="str">
        <f>"P/14889139"</f>
        <v>P/14889139</v>
      </c>
      <c r="D70" s="129">
        <v>42821</v>
      </c>
      <c r="E70" s="129">
        <v>43155</v>
      </c>
      <c r="F70" s="37">
        <v>1277213.55</v>
      </c>
      <c r="G70" s="151">
        <v>1277311.55</v>
      </c>
      <c r="H70" s="126" t="s">
        <v>1100</v>
      </c>
      <c r="I70" s="156" t="s">
        <v>1574</v>
      </c>
      <c r="J70" s="72"/>
      <c r="K70" s="145"/>
      <c r="L70" s="148"/>
      <c r="M70" s="158"/>
      <c r="N70" s="148"/>
      <c r="O70" s="148"/>
      <c r="P70" s="148"/>
      <c r="Q70" s="148"/>
    </row>
    <row r="71" spans="1:17" s="146" customFormat="1" ht="24" x14ac:dyDescent="0.25">
      <c r="A71" s="127">
        <v>64</v>
      </c>
      <c r="B71" s="60" t="s">
        <v>525</v>
      </c>
      <c r="C71" s="10" t="str">
        <f>"04/17-DUSJN"</f>
        <v>04/17-DUSJN</v>
      </c>
      <c r="D71" s="129">
        <v>42794</v>
      </c>
      <c r="E71" s="129">
        <v>43155</v>
      </c>
      <c r="F71" s="37">
        <v>385835.8</v>
      </c>
      <c r="G71" s="151">
        <v>482294.75</v>
      </c>
      <c r="H71" s="126" t="s">
        <v>1100</v>
      </c>
      <c r="I71" s="156" t="s">
        <v>1575</v>
      </c>
      <c r="J71" s="72"/>
      <c r="K71" s="145"/>
      <c r="L71" s="148"/>
      <c r="M71" s="158"/>
      <c r="N71" s="148"/>
      <c r="O71" s="148"/>
      <c r="P71" s="148"/>
      <c r="Q71" s="148"/>
    </row>
    <row r="72" spans="1:17" s="146" customFormat="1" ht="36" x14ac:dyDescent="0.25">
      <c r="A72" s="127">
        <v>65</v>
      </c>
      <c r="B72" s="60" t="s">
        <v>694</v>
      </c>
      <c r="C72" s="10" t="str">
        <f>"DP-02/9/5-006581/17"</f>
        <v>DP-02/9/5-006581/17</v>
      </c>
      <c r="D72" s="129">
        <v>42823</v>
      </c>
      <c r="E72" s="129">
        <v>43155</v>
      </c>
      <c r="F72" s="37">
        <v>181256.15</v>
      </c>
      <c r="G72" s="151">
        <v>181256.15</v>
      </c>
      <c r="H72" s="126" t="s">
        <v>1100</v>
      </c>
      <c r="I72" s="156" t="s">
        <v>1576</v>
      </c>
      <c r="J72" s="72"/>
      <c r="K72" s="145"/>
      <c r="L72" s="148"/>
      <c r="M72" s="158"/>
      <c r="N72" s="148"/>
      <c r="O72" s="148"/>
      <c r="P72" s="148"/>
      <c r="Q72" s="148"/>
    </row>
    <row r="73" spans="1:17" s="146" customFormat="1" ht="36" x14ac:dyDescent="0.25">
      <c r="A73" s="127">
        <v>66</v>
      </c>
      <c r="B73" s="60" t="s">
        <v>189</v>
      </c>
      <c r="C73" s="10" t="str">
        <f>"02-C-U-0083/17-90"</f>
        <v>02-C-U-0083/17-90</v>
      </c>
      <c r="D73" s="129">
        <v>42822</v>
      </c>
      <c r="E73" s="129">
        <v>43159</v>
      </c>
      <c r="F73" s="37">
        <v>149689.35999999999</v>
      </c>
      <c r="G73" s="151">
        <v>150275.54999999999</v>
      </c>
      <c r="H73" s="126" t="s">
        <v>1100</v>
      </c>
      <c r="I73" s="156" t="s">
        <v>1577</v>
      </c>
      <c r="J73" s="72"/>
      <c r="K73" s="145"/>
      <c r="L73" s="148"/>
      <c r="M73" s="158"/>
      <c r="N73" s="148"/>
      <c r="O73" s="148"/>
      <c r="P73" s="148"/>
      <c r="Q73" s="148"/>
    </row>
    <row r="74" spans="1:17" s="146" customFormat="1" ht="36" x14ac:dyDescent="0.25">
      <c r="A74" s="127">
        <v>67</v>
      </c>
      <c r="B74" s="60" t="s">
        <v>635</v>
      </c>
      <c r="C74" s="10" t="str">
        <f>"DP-02/9/2-004854/17"</f>
        <v>DP-02/9/2-004854/17</v>
      </c>
      <c r="D74" s="129">
        <v>42826</v>
      </c>
      <c r="E74" s="129">
        <v>43155</v>
      </c>
      <c r="F74" s="37">
        <v>134058.84</v>
      </c>
      <c r="G74" s="151">
        <v>134063.74</v>
      </c>
      <c r="H74" s="126" t="s">
        <v>1100</v>
      </c>
      <c r="I74" s="156" t="s">
        <v>1578</v>
      </c>
      <c r="J74" s="72"/>
      <c r="K74" s="145"/>
      <c r="L74" s="148"/>
      <c r="M74" s="158"/>
      <c r="N74" s="148"/>
      <c r="O74" s="148"/>
      <c r="P74" s="148"/>
      <c r="Q74" s="148"/>
    </row>
    <row r="75" spans="1:17" s="146" customFormat="1" ht="36" x14ac:dyDescent="0.25">
      <c r="A75" s="127">
        <v>68</v>
      </c>
      <c r="B75" s="60" t="s">
        <v>727</v>
      </c>
      <c r="C75" s="10" t="str">
        <f>"DP-02/9/3-5617/17"</f>
        <v>DP-02/9/3-5617/17</v>
      </c>
      <c r="D75" s="129">
        <v>42815</v>
      </c>
      <c r="E75" s="129">
        <v>43159</v>
      </c>
      <c r="F75" s="37">
        <v>229589.25</v>
      </c>
      <c r="G75" s="151"/>
      <c r="H75" s="126" t="s">
        <v>1100</v>
      </c>
      <c r="I75" s="156" t="s">
        <v>1579</v>
      </c>
      <c r="J75" s="72"/>
      <c r="K75" s="145"/>
      <c r="L75" s="148"/>
      <c r="M75" s="158"/>
      <c r="N75" s="148"/>
      <c r="O75" s="148"/>
      <c r="P75" s="148"/>
      <c r="Q75" s="148"/>
    </row>
    <row r="76" spans="1:17" s="146" customFormat="1" ht="36" x14ac:dyDescent="0.25">
      <c r="A76" s="127">
        <v>69</v>
      </c>
      <c r="B76" s="60" t="s">
        <v>975</v>
      </c>
      <c r="C76" s="10" t="str">
        <f>"DP-02/9/2-001948/17"</f>
        <v>DP-02/9/2-001948/17</v>
      </c>
      <c r="D76" s="129">
        <v>42818</v>
      </c>
      <c r="E76" s="129">
        <v>43190</v>
      </c>
      <c r="F76" s="37">
        <v>1995.46</v>
      </c>
      <c r="G76" s="151">
        <v>1995.46</v>
      </c>
      <c r="H76" s="126" t="s">
        <v>1100</v>
      </c>
      <c r="I76" s="156" t="s">
        <v>1580</v>
      </c>
      <c r="J76" s="71"/>
      <c r="K76" s="145"/>
      <c r="L76" s="148"/>
      <c r="M76" s="158"/>
      <c r="N76" s="148"/>
      <c r="O76" s="148"/>
      <c r="P76" s="148"/>
      <c r="Q76" s="148"/>
    </row>
    <row r="77" spans="1:17" s="146" customFormat="1" ht="36" x14ac:dyDescent="0.25">
      <c r="A77" s="127">
        <v>70</v>
      </c>
      <c r="B77" s="60" t="s">
        <v>598</v>
      </c>
      <c r="C77" s="10" t="str">
        <f>"DP-02/9/5-005626/17"</f>
        <v>DP-02/9/5-005626/17</v>
      </c>
      <c r="D77" s="129">
        <v>42837</v>
      </c>
      <c r="E77" s="129">
        <v>43155</v>
      </c>
      <c r="F77" s="37">
        <v>107294</v>
      </c>
      <c r="G77" s="151">
        <v>107294</v>
      </c>
      <c r="H77" s="126" t="s">
        <v>1100</v>
      </c>
      <c r="I77" s="156" t="s">
        <v>1581</v>
      </c>
      <c r="J77" s="71"/>
      <c r="K77" s="145"/>
      <c r="L77" s="148"/>
      <c r="M77" s="158"/>
      <c r="N77" s="148"/>
      <c r="O77" s="148"/>
      <c r="P77" s="148"/>
      <c r="Q77" s="148"/>
    </row>
    <row r="78" spans="1:17" s="146" customFormat="1" ht="24" x14ac:dyDescent="0.25">
      <c r="A78" s="127">
        <v>71</v>
      </c>
      <c r="B78" s="60" t="s">
        <v>186</v>
      </c>
      <c r="C78" s="10" t="str">
        <f>"406-01716-01/0046"</f>
        <v>406-01716-01/0046</v>
      </c>
      <c r="D78" s="129">
        <v>42807</v>
      </c>
      <c r="E78" s="129">
        <v>43189</v>
      </c>
      <c r="F78" s="37">
        <v>383892.12</v>
      </c>
      <c r="G78" s="151">
        <v>391258.13</v>
      </c>
      <c r="H78" s="126" t="s">
        <v>1102</v>
      </c>
      <c r="I78" s="156" t="s">
        <v>1582</v>
      </c>
      <c r="J78" s="71"/>
      <c r="K78" s="145"/>
      <c r="L78" s="148"/>
      <c r="M78" s="158"/>
      <c r="N78" s="148"/>
      <c r="O78" s="148"/>
      <c r="P78" s="148"/>
      <c r="Q78" s="148"/>
    </row>
    <row r="79" spans="1:17" s="146" customFormat="1" ht="24" x14ac:dyDescent="0.25">
      <c r="A79" s="127">
        <v>72</v>
      </c>
      <c r="B79" s="60" t="s">
        <v>758</v>
      </c>
      <c r="C79" s="10" t="str">
        <f>"DP-02/9/1-006921/17"</f>
        <v>DP-02/9/1-006921/17</v>
      </c>
      <c r="D79" s="129">
        <v>42826</v>
      </c>
      <c r="E79" s="129">
        <v>43155</v>
      </c>
      <c r="F79" s="37">
        <v>10734</v>
      </c>
      <c r="G79" s="151">
        <v>13417.5</v>
      </c>
      <c r="H79" s="126" t="s">
        <v>1100</v>
      </c>
      <c r="I79" s="156" t="s">
        <v>1583</v>
      </c>
      <c r="J79" s="71"/>
      <c r="K79" s="145"/>
      <c r="L79" s="148"/>
      <c r="M79" s="158"/>
      <c r="N79" s="148"/>
      <c r="O79" s="148"/>
      <c r="P79" s="148"/>
      <c r="Q79" s="148"/>
    </row>
    <row r="80" spans="1:17" s="146" customFormat="1" ht="24" x14ac:dyDescent="0.25">
      <c r="A80" s="127">
        <v>73</v>
      </c>
      <c r="B80" s="60" t="s">
        <v>720</v>
      </c>
      <c r="C80" s="10" t="str">
        <f>"UP/I-030-01/17-02/2"</f>
        <v>UP/I-030-01/17-02/2</v>
      </c>
      <c r="D80" s="129">
        <v>42835</v>
      </c>
      <c r="E80" s="129">
        <v>43155</v>
      </c>
      <c r="F80" s="37">
        <v>222276.19</v>
      </c>
      <c r="G80" s="151">
        <v>222356.19</v>
      </c>
      <c r="H80" s="126" t="s">
        <v>1100</v>
      </c>
      <c r="I80" s="156" t="s">
        <v>1584</v>
      </c>
      <c r="J80" s="71"/>
      <c r="K80" s="145"/>
      <c r="L80" s="148"/>
      <c r="M80" s="158"/>
      <c r="N80" s="148"/>
      <c r="O80" s="148"/>
      <c r="P80" s="148"/>
      <c r="Q80" s="148"/>
    </row>
    <row r="81" spans="1:17" s="146" customFormat="1" ht="24" x14ac:dyDescent="0.25">
      <c r="A81" s="127">
        <v>74</v>
      </c>
      <c r="B81" s="60" t="s">
        <v>193</v>
      </c>
      <c r="C81" s="10" t="str">
        <f>"7-15-16-2"</f>
        <v>7-15-16-2</v>
      </c>
      <c r="D81" s="129">
        <v>42821</v>
      </c>
      <c r="E81" s="129">
        <v>43159</v>
      </c>
      <c r="F81" s="37">
        <v>1501371.68</v>
      </c>
      <c r="G81" s="152">
        <v>1503205.9</v>
      </c>
      <c r="H81" s="126" t="s">
        <v>1100</v>
      </c>
      <c r="I81" s="156" t="s">
        <v>1585</v>
      </c>
      <c r="J81" s="71"/>
      <c r="K81" s="145"/>
      <c r="L81" s="148"/>
      <c r="M81" s="158"/>
      <c r="N81" s="148"/>
      <c r="O81" s="148"/>
      <c r="P81" s="148"/>
      <c r="Q81" s="148"/>
    </row>
    <row r="82" spans="1:17" s="146" customFormat="1" ht="24" x14ac:dyDescent="0.25">
      <c r="A82" s="127">
        <v>75</v>
      </c>
      <c r="B82" s="60" t="s">
        <v>204</v>
      </c>
      <c r="C82" s="10" t="str">
        <f>"15/2015-17/41-1"</f>
        <v>15/2015-17/41-1</v>
      </c>
      <c r="D82" s="129">
        <v>42817</v>
      </c>
      <c r="E82" s="129">
        <v>43159</v>
      </c>
      <c r="F82" s="37">
        <v>920297.3</v>
      </c>
      <c r="G82" s="151">
        <v>926159.9</v>
      </c>
      <c r="H82" s="126" t="s">
        <v>1100</v>
      </c>
      <c r="I82" s="156" t="s">
        <v>1586</v>
      </c>
      <c r="J82" s="71"/>
      <c r="K82" s="145"/>
      <c r="L82" s="148"/>
      <c r="M82" s="158"/>
      <c r="N82" s="148"/>
      <c r="O82" s="148"/>
      <c r="P82" s="148"/>
      <c r="Q82" s="148"/>
    </row>
    <row r="83" spans="1:17" s="146" customFormat="1" ht="24" x14ac:dyDescent="0.25">
      <c r="A83" s="127">
        <v>76</v>
      </c>
      <c r="B83" s="60" t="s">
        <v>196</v>
      </c>
      <c r="C83" s="10" t="str">
        <f>"MGPU 15/2015_2"</f>
        <v>MGPU 15/2015_2</v>
      </c>
      <c r="D83" s="129">
        <v>42849</v>
      </c>
      <c r="E83" s="129">
        <v>43155</v>
      </c>
      <c r="F83" s="37">
        <v>638110.65</v>
      </c>
      <c r="G83" s="151">
        <v>640576.65</v>
      </c>
      <c r="H83" s="126" t="s">
        <v>1100</v>
      </c>
      <c r="I83" s="156" t="s">
        <v>1587</v>
      </c>
      <c r="J83" s="71"/>
      <c r="K83" s="145"/>
      <c r="L83" s="148"/>
      <c r="M83" s="158"/>
      <c r="N83" s="148"/>
      <c r="O83" s="148"/>
      <c r="P83" s="148"/>
      <c r="Q83" s="148"/>
    </row>
    <row r="84" spans="1:17" s="146" customFormat="1" ht="36" x14ac:dyDescent="0.25">
      <c r="A84" s="127">
        <v>77</v>
      </c>
      <c r="B84" s="60" t="s">
        <v>191</v>
      </c>
      <c r="C84" s="10" t="str">
        <f>"MFIN KL:406-01/15-01/201UR-11"</f>
        <v>MFIN KL:406-01/15-01/201UR-11</v>
      </c>
      <c r="D84" s="129">
        <v>42816</v>
      </c>
      <c r="E84" s="129">
        <v>43155</v>
      </c>
      <c r="F84" s="37">
        <v>400806</v>
      </c>
      <c r="G84" s="151">
        <v>401206.4</v>
      </c>
      <c r="H84" s="126" t="s">
        <v>1100</v>
      </c>
      <c r="I84" s="156" t="s">
        <v>1588</v>
      </c>
      <c r="J84" s="71"/>
      <c r="K84" s="145"/>
      <c r="L84" s="148"/>
      <c r="M84" s="158"/>
      <c r="N84" s="148"/>
      <c r="O84" s="148"/>
      <c r="P84" s="148"/>
      <c r="Q84" s="148"/>
    </row>
    <row r="85" spans="1:17" s="146" customFormat="1" ht="24" x14ac:dyDescent="0.25">
      <c r="A85" s="127">
        <v>78</v>
      </c>
      <c r="B85" s="60" t="s">
        <v>203</v>
      </c>
      <c r="C85" s="10" t="str">
        <f>"UGOVOR HP"</f>
        <v>UGOVOR HP</v>
      </c>
      <c r="D85" s="129">
        <v>42818</v>
      </c>
      <c r="E85" s="129">
        <v>43155</v>
      </c>
      <c r="F85" s="37">
        <v>196711.84</v>
      </c>
      <c r="G85" s="151">
        <v>245889.8</v>
      </c>
      <c r="H85" s="126" t="s">
        <v>1100</v>
      </c>
      <c r="I85" s="156" t="s">
        <v>1589</v>
      </c>
      <c r="J85" s="71"/>
      <c r="K85" s="145"/>
      <c r="L85" s="148"/>
      <c r="M85" s="158"/>
      <c r="N85" s="148"/>
      <c r="O85" s="148"/>
      <c r="P85" s="148"/>
      <c r="Q85" s="148"/>
    </row>
    <row r="86" spans="1:17" s="146" customFormat="1" ht="24" x14ac:dyDescent="0.25">
      <c r="A86" s="127">
        <v>79</v>
      </c>
      <c r="B86" s="60" t="s">
        <v>589</v>
      </c>
      <c r="C86" s="10" t="str">
        <f>"POŠTARINA"</f>
        <v>POŠTARINA</v>
      </c>
      <c r="D86" s="129">
        <v>42811</v>
      </c>
      <c r="E86" s="129">
        <v>43176</v>
      </c>
      <c r="F86" s="37">
        <v>609000.15</v>
      </c>
      <c r="G86" s="151">
        <v>761250.19</v>
      </c>
      <c r="H86" s="126" t="s">
        <v>1100</v>
      </c>
      <c r="I86" s="156" t="s">
        <v>1590</v>
      </c>
      <c r="J86" s="71"/>
      <c r="K86" s="145"/>
      <c r="L86" s="148"/>
      <c r="M86" s="158"/>
      <c r="N86" s="148"/>
      <c r="O86" s="148"/>
      <c r="P86" s="148"/>
      <c r="Q86" s="148"/>
    </row>
    <row r="87" spans="1:17" s="146" customFormat="1" ht="24" x14ac:dyDescent="0.25">
      <c r="A87" s="127">
        <v>80</v>
      </c>
      <c r="B87" s="60" t="s">
        <v>596</v>
      </c>
      <c r="C87" s="10" t="str">
        <f>"DP-02/9/2-005123/17"</f>
        <v>DP-02/9/2-005123/17</v>
      </c>
      <c r="D87" s="129">
        <v>42810</v>
      </c>
      <c r="E87" s="129">
        <v>43155</v>
      </c>
      <c r="F87" s="37">
        <v>29999.4</v>
      </c>
      <c r="G87" s="151">
        <v>30048.799999999999</v>
      </c>
      <c r="H87" s="126" t="s">
        <v>1100</v>
      </c>
      <c r="I87" s="156" t="s">
        <v>1591</v>
      </c>
      <c r="J87" s="71"/>
      <c r="K87" s="145"/>
      <c r="L87" s="148"/>
      <c r="M87" s="158"/>
      <c r="N87" s="148"/>
      <c r="O87" s="148"/>
      <c r="P87" s="148"/>
      <c r="Q87" s="148"/>
    </row>
    <row r="88" spans="1:17" s="146" customFormat="1" ht="24" x14ac:dyDescent="0.25">
      <c r="A88" s="127">
        <v>81</v>
      </c>
      <c r="B88" s="60" t="s">
        <v>494</v>
      </c>
      <c r="C88" s="10" t="str">
        <f>"DP-02/9/4-002719/17-1"</f>
        <v>DP-02/9/4-002719/17-1</v>
      </c>
      <c r="D88" s="129">
        <v>42783</v>
      </c>
      <c r="E88" s="129">
        <v>43155</v>
      </c>
      <c r="F88" s="37">
        <v>370895.5</v>
      </c>
      <c r="G88" s="151">
        <v>370935.5</v>
      </c>
      <c r="H88" s="126" t="s">
        <v>1100</v>
      </c>
      <c r="I88" s="156" t="s">
        <v>1592</v>
      </c>
      <c r="J88" s="71"/>
      <c r="K88" s="145"/>
      <c r="L88" s="148"/>
      <c r="M88" s="158"/>
      <c r="N88" s="148"/>
      <c r="O88" s="148"/>
      <c r="P88" s="148"/>
      <c r="Q88" s="148"/>
    </row>
    <row r="89" spans="1:17" s="146" customFormat="1" ht="24" x14ac:dyDescent="0.25">
      <c r="A89" s="127">
        <v>82</v>
      </c>
      <c r="B89" s="60" t="s">
        <v>825</v>
      </c>
      <c r="C89" s="10" t="str">
        <f>"DP-02/9/5-003913/17"</f>
        <v>DP-02/9/5-003913/17</v>
      </c>
      <c r="D89" s="129">
        <v>42791</v>
      </c>
      <c r="E89" s="129">
        <v>43155</v>
      </c>
      <c r="F89" s="37">
        <v>7167.12</v>
      </c>
      <c r="G89" s="151"/>
      <c r="H89" s="126" t="s">
        <v>1100</v>
      </c>
      <c r="I89" s="156" t="s">
        <v>1593</v>
      </c>
      <c r="J89" s="71"/>
      <c r="K89" s="145"/>
      <c r="L89" s="148"/>
      <c r="M89" s="158"/>
      <c r="N89" s="148"/>
      <c r="O89" s="148"/>
      <c r="P89" s="148"/>
      <c r="Q89" s="148"/>
    </row>
    <row r="90" spans="1:17" s="146" customFormat="1" ht="24" x14ac:dyDescent="0.25">
      <c r="A90" s="127">
        <v>83</v>
      </c>
      <c r="B90" s="60" t="s">
        <v>921</v>
      </c>
      <c r="C90" s="10" t="str">
        <f>"DP-02/9/1-002649/17"</f>
        <v>DP-02/9/1-002649/17</v>
      </c>
      <c r="D90" s="129">
        <v>42772</v>
      </c>
      <c r="E90" s="129">
        <v>43155</v>
      </c>
      <c r="F90" s="37">
        <v>40883.57</v>
      </c>
      <c r="G90" s="151">
        <v>44986.27</v>
      </c>
      <c r="H90" s="126" t="s">
        <v>1100</v>
      </c>
      <c r="I90" s="156" t="s">
        <v>1594</v>
      </c>
      <c r="J90" s="71"/>
      <c r="K90" s="145"/>
      <c r="L90" s="148"/>
      <c r="M90" s="158"/>
      <c r="N90" s="148"/>
      <c r="O90" s="148"/>
      <c r="P90" s="148"/>
      <c r="Q90" s="148"/>
    </row>
    <row r="91" spans="1:17" s="146" customFormat="1" ht="24" x14ac:dyDescent="0.25">
      <c r="A91" s="127">
        <v>84</v>
      </c>
      <c r="B91" s="60" t="s">
        <v>202</v>
      </c>
      <c r="C91" s="10" t="str">
        <f>"DP-02/9/1-003230/17"</f>
        <v>DP-02/9/1-003230/17</v>
      </c>
      <c r="D91" s="129">
        <v>42779</v>
      </c>
      <c r="E91" s="129">
        <v>43155</v>
      </c>
      <c r="F91" s="37">
        <v>147362.01999999999</v>
      </c>
      <c r="G91" s="151">
        <v>148050.01999999999</v>
      </c>
      <c r="H91" s="126" t="s">
        <v>1100</v>
      </c>
      <c r="I91" s="156" t="s">
        <v>1595</v>
      </c>
      <c r="J91" s="71"/>
      <c r="K91" s="145"/>
      <c r="L91" s="148"/>
      <c r="M91" s="158"/>
      <c r="N91" s="148"/>
      <c r="O91" s="148"/>
      <c r="P91" s="148"/>
      <c r="Q91" s="148"/>
    </row>
    <row r="92" spans="1:17" s="146" customFormat="1" ht="24" x14ac:dyDescent="0.25">
      <c r="A92" s="127">
        <v>85</v>
      </c>
      <c r="B92" s="60" t="s">
        <v>863</v>
      </c>
      <c r="C92" s="10" t="str">
        <f>"DP-02/9/5-003912/17"</f>
        <v>DP-02/9/5-003912/17</v>
      </c>
      <c r="D92" s="129">
        <v>42786</v>
      </c>
      <c r="E92" s="129">
        <v>43155</v>
      </c>
      <c r="F92" s="37">
        <v>85168.95</v>
      </c>
      <c r="G92" s="152">
        <v>106461.19</v>
      </c>
      <c r="H92" s="126" t="s">
        <v>1100</v>
      </c>
      <c r="I92" s="156" t="s">
        <v>1596</v>
      </c>
      <c r="J92" s="71"/>
      <c r="K92" s="145"/>
      <c r="L92" s="148"/>
      <c r="M92" s="158"/>
      <c r="N92" s="148"/>
      <c r="O92" s="148"/>
      <c r="P92" s="148"/>
      <c r="Q92" s="148"/>
    </row>
    <row r="93" spans="1:17" s="146" customFormat="1" ht="24" x14ac:dyDescent="0.25">
      <c r="A93" s="127">
        <v>86</v>
      </c>
      <c r="B93" s="60" t="s">
        <v>750</v>
      </c>
      <c r="C93" s="10" t="str">
        <f>"251-56-01-17-43-1-17"</f>
        <v>251-56-01-17-43-1-17</v>
      </c>
      <c r="D93" s="129">
        <v>42808</v>
      </c>
      <c r="E93" s="129">
        <v>43155</v>
      </c>
      <c r="F93" s="37">
        <v>112355.7</v>
      </c>
      <c r="G93" s="151">
        <v>112389.45</v>
      </c>
      <c r="H93" s="126" t="s">
        <v>1100</v>
      </c>
      <c r="I93" s="156" t="s">
        <v>1597</v>
      </c>
      <c r="J93" s="72"/>
      <c r="K93" s="145"/>
      <c r="L93" s="148"/>
      <c r="M93" s="158"/>
      <c r="N93" s="148"/>
      <c r="O93" s="148"/>
      <c r="P93" s="148"/>
      <c r="Q93" s="148"/>
    </row>
    <row r="94" spans="1:17" s="146" customFormat="1" ht="36" x14ac:dyDescent="0.25">
      <c r="A94" s="127">
        <v>87</v>
      </c>
      <c r="B94" s="60" t="s">
        <v>566</v>
      </c>
      <c r="C94" s="10" t="str">
        <f>"030-08/17-03/07"</f>
        <v>030-08/17-03/07</v>
      </c>
      <c r="D94" s="129">
        <v>42794</v>
      </c>
      <c r="E94" s="129">
        <v>43155</v>
      </c>
      <c r="F94" s="37">
        <v>70000</v>
      </c>
      <c r="G94" s="151">
        <v>87500</v>
      </c>
      <c r="H94" s="126" t="s">
        <v>1100</v>
      </c>
      <c r="I94" s="156" t="s">
        <v>1598</v>
      </c>
      <c r="J94" s="72"/>
      <c r="K94" s="145"/>
      <c r="L94" s="148"/>
      <c r="M94" s="158"/>
      <c r="N94" s="148"/>
      <c r="O94" s="148"/>
      <c r="P94" s="148"/>
      <c r="Q94" s="148"/>
    </row>
    <row r="95" spans="1:17" s="146" customFormat="1" ht="24" x14ac:dyDescent="0.25">
      <c r="A95" s="127">
        <v>88</v>
      </c>
      <c r="B95" s="60" t="s">
        <v>675</v>
      </c>
      <c r="C95" s="10" t="str">
        <f>"DPO-2/9-/1-000917/17"</f>
        <v>DPO-2/9-/1-000917/17</v>
      </c>
      <c r="D95" s="129">
        <v>42769</v>
      </c>
      <c r="E95" s="129">
        <v>43155</v>
      </c>
      <c r="F95" s="37">
        <v>30001.5</v>
      </c>
      <c r="G95" s="151">
        <v>30001.5</v>
      </c>
      <c r="H95" s="126" t="s">
        <v>1100</v>
      </c>
      <c r="I95" s="156" t="s">
        <v>1599</v>
      </c>
      <c r="J95" s="72"/>
      <c r="K95" s="145"/>
      <c r="L95" s="148"/>
      <c r="M95" s="158"/>
      <c r="N95" s="148"/>
      <c r="O95" s="148"/>
      <c r="P95" s="148"/>
      <c r="Q95" s="148"/>
    </row>
    <row r="96" spans="1:17" s="147" customFormat="1" x14ac:dyDescent="0.25">
      <c r="A96" s="127">
        <v>89</v>
      </c>
      <c r="B96" s="144" t="s">
        <v>549</v>
      </c>
      <c r="C96" s="143" t="str">
        <f>"41 SU:362/17"</f>
        <v>41 SU:362/17</v>
      </c>
      <c r="D96" s="129">
        <v>42801</v>
      </c>
      <c r="E96" s="129">
        <v>42790</v>
      </c>
      <c r="F96" s="37">
        <v>2516876.7000000002</v>
      </c>
      <c r="G96" s="151">
        <v>3146095.88</v>
      </c>
      <c r="H96" s="127"/>
      <c r="I96" s="157" t="s">
        <v>1101</v>
      </c>
      <c r="J96" s="72"/>
      <c r="K96" s="51"/>
      <c r="L96" s="150"/>
      <c r="M96" s="158"/>
      <c r="N96" s="148"/>
      <c r="O96" s="148"/>
      <c r="P96" s="148"/>
      <c r="Q96" s="148"/>
    </row>
    <row r="97" spans="1:17" s="146" customFormat="1" ht="24" x14ac:dyDescent="0.25">
      <c r="A97" s="127">
        <v>90</v>
      </c>
      <c r="B97" s="60" t="s">
        <v>725</v>
      </c>
      <c r="C97" s="10" t="str">
        <f>"DP-02/9/4-002726/17-1"</f>
        <v>DP-02/9/4-002726/17-1</v>
      </c>
      <c r="D97" s="56">
        <v>42782</v>
      </c>
      <c r="E97" s="56">
        <v>43155</v>
      </c>
      <c r="F97" s="8">
        <v>82187.460000000006</v>
      </c>
      <c r="G97" s="46">
        <v>82390.210000000006</v>
      </c>
      <c r="H97" s="126" t="s">
        <v>1100</v>
      </c>
      <c r="I97" s="156" t="s">
        <v>1600</v>
      </c>
      <c r="J97" s="72"/>
      <c r="K97" s="145"/>
      <c r="L97" s="148"/>
      <c r="M97" s="158"/>
      <c r="N97" s="148"/>
      <c r="O97" s="148"/>
      <c r="P97" s="148"/>
      <c r="Q97" s="148"/>
    </row>
    <row r="98" spans="1:17" s="146" customFormat="1" ht="24" x14ac:dyDescent="0.25">
      <c r="A98" s="127">
        <v>91</v>
      </c>
      <c r="B98" s="60" t="s">
        <v>645</v>
      </c>
      <c r="C98" s="10" t="str">
        <f>"DP-02/9/4-003083/17"</f>
        <v>DP-02/9/4-003083/17</v>
      </c>
      <c r="D98" s="56">
        <v>42782</v>
      </c>
      <c r="E98" s="56">
        <v>43155</v>
      </c>
      <c r="F98" s="8">
        <v>252733.28</v>
      </c>
      <c r="G98" s="46">
        <v>315916.59999999998</v>
      </c>
      <c r="H98" s="126" t="s">
        <v>1100</v>
      </c>
      <c r="I98" s="156" t="s">
        <v>1601</v>
      </c>
      <c r="J98" s="72"/>
      <c r="K98" s="145"/>
      <c r="L98" s="148"/>
      <c r="M98" s="158"/>
      <c r="N98" s="148"/>
      <c r="O98" s="148"/>
      <c r="P98" s="148"/>
      <c r="Q98" s="148"/>
    </row>
    <row r="99" spans="1:17" s="146" customFormat="1" ht="36" x14ac:dyDescent="0.25">
      <c r="A99" s="127">
        <v>92</v>
      </c>
      <c r="B99" s="60" t="s">
        <v>769</v>
      </c>
      <c r="C99" s="10" t="str">
        <f>"DP-02/9/1-002130/17"</f>
        <v>DP-02/9/1-002130/17</v>
      </c>
      <c r="D99" s="56">
        <v>42765</v>
      </c>
      <c r="E99" s="56">
        <v>43155</v>
      </c>
      <c r="F99" s="8">
        <v>6510</v>
      </c>
      <c r="G99" s="46">
        <v>6510</v>
      </c>
      <c r="H99" s="126" t="s">
        <v>1100</v>
      </c>
      <c r="I99" s="156" t="s">
        <v>1602</v>
      </c>
      <c r="J99" s="72"/>
      <c r="K99" s="145"/>
      <c r="L99" s="148"/>
      <c r="M99" s="158"/>
      <c r="N99" s="148"/>
      <c r="O99" s="148"/>
      <c r="P99" s="148"/>
      <c r="Q99" s="148"/>
    </row>
    <row r="100" spans="1:17" s="146" customFormat="1" x14ac:dyDescent="0.25">
      <c r="A100" s="127">
        <v>93</v>
      </c>
      <c r="B100" s="60" t="s">
        <v>587</v>
      </c>
      <c r="C100" s="10" t="str">
        <f>"DP-02"</f>
        <v>DP-02</v>
      </c>
      <c r="D100" s="56">
        <v>42788</v>
      </c>
      <c r="E100" s="56">
        <v>43155</v>
      </c>
      <c r="F100" s="8">
        <v>32589.59</v>
      </c>
      <c r="G100" s="46">
        <v>40736.99</v>
      </c>
      <c r="H100" s="126" t="s">
        <v>1100</v>
      </c>
      <c r="I100" s="156" t="s">
        <v>1603</v>
      </c>
      <c r="J100" s="72"/>
      <c r="K100" s="145"/>
      <c r="L100" s="148"/>
      <c r="M100" s="158"/>
      <c r="N100" s="148"/>
      <c r="O100" s="148"/>
      <c r="P100" s="148"/>
      <c r="Q100" s="148"/>
    </row>
    <row r="101" spans="1:17" s="146" customFormat="1" ht="24" x14ac:dyDescent="0.25">
      <c r="A101" s="127">
        <v>94</v>
      </c>
      <c r="B101" s="60" t="s">
        <v>611</v>
      </c>
      <c r="C101" s="10" t="str">
        <f>"SU-VII-12/2017"</f>
        <v>SU-VII-12/2017</v>
      </c>
      <c r="D101" s="119">
        <v>42793</v>
      </c>
      <c r="E101" s="119">
        <v>43155</v>
      </c>
      <c r="F101" s="122">
        <v>105948.6</v>
      </c>
      <c r="G101" s="153">
        <v>132435.75</v>
      </c>
      <c r="H101" s="126" t="s">
        <v>1100</v>
      </c>
      <c r="I101" s="156" t="s">
        <v>1604</v>
      </c>
      <c r="J101" s="72"/>
      <c r="K101" s="145"/>
      <c r="L101" s="148"/>
      <c r="M101" s="158"/>
      <c r="N101" s="148"/>
      <c r="O101" s="148"/>
      <c r="P101" s="148"/>
      <c r="Q101" s="148"/>
    </row>
    <row r="102" spans="1:17" s="146" customFormat="1" ht="48" x14ac:dyDescent="0.25">
      <c r="A102" s="127">
        <v>95</v>
      </c>
      <c r="B102" s="60" t="s">
        <v>846</v>
      </c>
      <c r="C102" s="10" t="str">
        <f>"UGOVOR O NABAVI POŠTANSKIH USL"</f>
        <v>UGOVOR O NABAVI POŠTANSKIH USL</v>
      </c>
      <c r="D102" s="56">
        <v>42823</v>
      </c>
      <c r="E102" s="56">
        <v>43156</v>
      </c>
      <c r="F102" s="8">
        <v>30323.599999999999</v>
      </c>
      <c r="G102" s="46">
        <v>33123.5</v>
      </c>
      <c r="H102" s="126" t="s">
        <v>1100</v>
      </c>
      <c r="I102" s="156" t="s">
        <v>1605</v>
      </c>
      <c r="J102" s="72"/>
      <c r="K102" s="145"/>
      <c r="L102" s="148"/>
      <c r="M102" s="158"/>
      <c r="N102" s="148"/>
      <c r="O102" s="148"/>
      <c r="P102" s="148"/>
      <c r="Q102" s="148"/>
    </row>
    <row r="103" spans="1:17" s="146" customFormat="1" ht="24" x14ac:dyDescent="0.25">
      <c r="A103" s="127">
        <v>96</v>
      </c>
      <c r="B103" s="60" t="s">
        <v>859</v>
      </c>
      <c r="C103" s="10" t="str">
        <f>"28/2017."</f>
        <v>28/2017.</v>
      </c>
      <c r="D103" s="56">
        <v>42790</v>
      </c>
      <c r="E103" s="56">
        <v>43155</v>
      </c>
      <c r="F103" s="8">
        <v>11351.65</v>
      </c>
      <c r="G103" s="46">
        <v>11351.65</v>
      </c>
      <c r="H103" s="126" t="s">
        <v>1100</v>
      </c>
      <c r="I103" s="156" t="s">
        <v>1606</v>
      </c>
      <c r="J103" s="72"/>
      <c r="K103" s="145"/>
      <c r="L103" s="148"/>
      <c r="M103" s="158"/>
      <c r="N103" s="148"/>
      <c r="O103" s="148"/>
      <c r="P103" s="148"/>
      <c r="Q103" s="148"/>
    </row>
    <row r="104" spans="1:17" s="146" customFormat="1" ht="24" x14ac:dyDescent="0.25">
      <c r="A104" s="127">
        <v>97</v>
      </c>
      <c r="B104" s="60" t="s">
        <v>812</v>
      </c>
      <c r="C104" s="10" t="str">
        <f>"DP-02/9/2-004218/17"</f>
        <v>DP-02/9/2-004218/17</v>
      </c>
      <c r="D104" s="56">
        <v>42788</v>
      </c>
      <c r="E104" s="56">
        <v>43155</v>
      </c>
      <c r="F104" s="8">
        <v>53873.8</v>
      </c>
      <c r="G104" s="46">
        <v>67342.25</v>
      </c>
      <c r="H104" s="126" t="s">
        <v>1100</v>
      </c>
      <c r="I104" s="156" t="s">
        <v>1607</v>
      </c>
      <c r="J104" s="72"/>
      <c r="K104" s="145"/>
      <c r="L104" s="148"/>
      <c r="M104" s="158"/>
      <c r="N104" s="148"/>
      <c r="O104" s="148"/>
      <c r="P104" s="148"/>
      <c r="Q104" s="148"/>
    </row>
    <row r="105" spans="1:17" s="146" customFormat="1" ht="24" x14ac:dyDescent="0.25">
      <c r="A105" s="127">
        <v>98</v>
      </c>
      <c r="B105" s="60" t="s">
        <v>540</v>
      </c>
      <c r="C105" s="10" t="str">
        <f>"MV031"</f>
        <v>MV031</v>
      </c>
      <c r="D105" s="56">
        <v>42761</v>
      </c>
      <c r="E105" s="56">
        <v>43155</v>
      </c>
      <c r="F105" s="8">
        <v>127621.51</v>
      </c>
      <c r="G105" s="46">
        <v>128353.4</v>
      </c>
      <c r="H105" s="126" t="s">
        <v>1100</v>
      </c>
      <c r="I105" s="156" t="s">
        <v>1608</v>
      </c>
      <c r="J105" s="72"/>
      <c r="K105" s="145"/>
      <c r="L105" s="148"/>
      <c r="M105" s="158"/>
      <c r="N105" s="148"/>
      <c r="O105" s="148"/>
      <c r="P105" s="148"/>
      <c r="Q105" s="148"/>
    </row>
    <row r="106" spans="1:17" s="146" customFormat="1" ht="24" x14ac:dyDescent="0.25">
      <c r="A106" s="127">
        <v>99</v>
      </c>
      <c r="B106" s="60" t="s">
        <v>554</v>
      </c>
      <c r="C106" s="10" t="str">
        <f>"Z-VI-4166/17."</f>
        <v>Z-VI-4166/17.</v>
      </c>
      <c r="D106" s="56">
        <v>42753</v>
      </c>
      <c r="E106" s="56">
        <v>43155</v>
      </c>
      <c r="F106" s="8">
        <v>271566.3</v>
      </c>
      <c r="G106" s="46">
        <v>339457.88</v>
      </c>
      <c r="H106" s="126" t="s">
        <v>1100</v>
      </c>
      <c r="I106" s="156" t="s">
        <v>1609</v>
      </c>
      <c r="J106" s="72"/>
      <c r="K106" s="145"/>
      <c r="L106" s="148"/>
      <c r="M106" s="158"/>
      <c r="N106" s="148"/>
      <c r="O106" s="148"/>
      <c r="P106" s="148"/>
      <c r="Q106" s="148"/>
    </row>
    <row r="107" spans="1:17" s="146" customFormat="1" ht="24" x14ac:dyDescent="0.25">
      <c r="A107" s="127">
        <v>100</v>
      </c>
      <c r="B107" s="60" t="s">
        <v>200</v>
      </c>
      <c r="C107" s="10" t="str">
        <f>"DP-02-25494/16"</f>
        <v>DP-02-25494/16</v>
      </c>
      <c r="D107" s="56">
        <v>42734</v>
      </c>
      <c r="E107" s="56">
        <v>43100</v>
      </c>
      <c r="F107" s="8">
        <v>241163.5</v>
      </c>
      <c r="G107" s="46">
        <v>241904.1</v>
      </c>
      <c r="H107" s="126" t="s">
        <v>1100</v>
      </c>
      <c r="I107" s="156" t="s">
        <v>1610</v>
      </c>
      <c r="J107" s="72"/>
      <c r="K107" s="145"/>
      <c r="L107" s="148"/>
      <c r="M107" s="158"/>
      <c r="N107" s="148"/>
      <c r="O107" s="148"/>
      <c r="P107" s="148"/>
      <c r="Q107" s="148"/>
    </row>
    <row r="108" spans="1:17" s="146" customFormat="1" ht="24" x14ac:dyDescent="0.25">
      <c r="A108" s="127">
        <v>101</v>
      </c>
      <c r="B108" s="60" t="s">
        <v>734</v>
      </c>
      <c r="C108" s="10" t="str">
        <f>"DP-02/9/5-006866-2/16"</f>
        <v>DP-02/9/5-006866-2/16</v>
      </c>
      <c r="D108" s="56">
        <v>42747</v>
      </c>
      <c r="E108" s="56">
        <v>43100</v>
      </c>
      <c r="F108" s="8">
        <v>119079.91</v>
      </c>
      <c r="G108" s="46">
        <v>119222.91</v>
      </c>
      <c r="H108" s="126" t="s">
        <v>1100</v>
      </c>
      <c r="I108" s="156" t="s">
        <v>1611</v>
      </c>
      <c r="J108" s="72"/>
      <c r="K108" s="145"/>
      <c r="L108" s="148"/>
      <c r="M108" s="158"/>
      <c r="N108" s="148"/>
      <c r="O108" s="148"/>
      <c r="P108" s="148"/>
      <c r="Q108" s="148"/>
    </row>
    <row r="109" spans="1:17" s="146" customFormat="1" ht="24" x14ac:dyDescent="0.25">
      <c r="A109" s="127">
        <v>102</v>
      </c>
      <c r="B109" s="60" t="s">
        <v>548</v>
      </c>
      <c r="C109" s="10" t="str">
        <f>"427-10-01-17-330/U"</f>
        <v>427-10-01-17-330/U</v>
      </c>
      <c r="D109" s="56">
        <v>42736</v>
      </c>
      <c r="E109" s="56">
        <v>43100</v>
      </c>
      <c r="F109" s="8">
        <v>18448</v>
      </c>
      <c r="G109" s="46">
        <v>23060</v>
      </c>
      <c r="H109" s="126" t="s">
        <v>1100</v>
      </c>
      <c r="I109" s="156" t="s">
        <v>1612</v>
      </c>
      <c r="J109" s="72"/>
      <c r="K109" s="145"/>
      <c r="L109" s="148"/>
      <c r="M109" s="158"/>
      <c r="N109" s="148"/>
      <c r="O109" s="148"/>
      <c r="P109" s="148"/>
      <c r="Q109" s="148"/>
    </row>
    <row r="110" spans="1:17" s="146" customFormat="1" ht="36" x14ac:dyDescent="0.25">
      <c r="A110" s="127">
        <v>103</v>
      </c>
      <c r="B110" s="60" t="s">
        <v>97</v>
      </c>
      <c r="C110" s="10" t="str">
        <f>"030-01/16-01/16"</f>
        <v>030-01/16-01/16</v>
      </c>
      <c r="D110" s="56">
        <v>42734</v>
      </c>
      <c r="E110" s="56">
        <v>43100</v>
      </c>
      <c r="F110" s="8">
        <v>234035</v>
      </c>
      <c r="G110" s="46">
        <v>292543.75</v>
      </c>
      <c r="H110" s="126" t="s">
        <v>1100</v>
      </c>
      <c r="I110" s="156" t="s">
        <v>1613</v>
      </c>
      <c r="J110" s="72"/>
      <c r="K110" s="145"/>
      <c r="L110" s="148"/>
      <c r="M110" s="158"/>
      <c r="N110" s="148"/>
      <c r="O110" s="148"/>
      <c r="P110" s="148"/>
      <c r="Q110" s="148"/>
    </row>
    <row r="111" spans="1:17" s="146" customFormat="1" ht="24" x14ac:dyDescent="0.25">
      <c r="A111" s="127">
        <v>104</v>
      </c>
      <c r="B111" s="60" t="s">
        <v>489</v>
      </c>
      <c r="C111" s="10" t="str">
        <f>"406-01/16-01/8"</f>
        <v>406-01/16-01/8</v>
      </c>
      <c r="D111" s="56">
        <v>42733</v>
      </c>
      <c r="E111" s="56">
        <v>43100</v>
      </c>
      <c r="F111" s="8">
        <v>69523.34</v>
      </c>
      <c r="G111" s="46">
        <v>69854.899999999994</v>
      </c>
      <c r="H111" s="126" t="s">
        <v>1100</v>
      </c>
      <c r="I111" s="156" t="s">
        <v>1614</v>
      </c>
      <c r="J111" s="72"/>
      <c r="K111" s="145"/>
      <c r="L111" s="148"/>
      <c r="M111" s="158"/>
      <c r="N111" s="148"/>
      <c r="O111" s="148"/>
      <c r="P111" s="148"/>
      <c r="Q111" s="148"/>
    </row>
    <row r="112" spans="1:17" s="146" customFormat="1" ht="24" x14ac:dyDescent="0.25">
      <c r="A112" s="127">
        <v>105</v>
      </c>
      <c r="B112" s="60" t="s">
        <v>199</v>
      </c>
      <c r="C112" s="10" t="str">
        <f>"15/2015-MHB"</f>
        <v>15/2015-MHB</v>
      </c>
      <c r="D112" s="56">
        <v>42734</v>
      </c>
      <c r="E112" s="56">
        <v>43100</v>
      </c>
      <c r="F112" s="8">
        <v>395768.6</v>
      </c>
      <c r="G112" s="46">
        <v>494710.75</v>
      </c>
      <c r="H112" s="126" t="s">
        <v>1100</v>
      </c>
      <c r="I112" s="156" t="s">
        <v>1615</v>
      </c>
      <c r="J112" s="72"/>
      <c r="K112" s="145"/>
      <c r="L112" s="148"/>
      <c r="M112" s="158"/>
      <c r="N112" s="148"/>
      <c r="O112" s="148"/>
      <c r="P112" s="148"/>
      <c r="Q112" s="148"/>
    </row>
    <row r="113" spans="1:17" s="146" customFormat="1" ht="24" x14ac:dyDescent="0.25">
      <c r="A113" s="127">
        <v>106</v>
      </c>
      <c r="B113" s="60" t="s">
        <v>723</v>
      </c>
      <c r="C113" s="10" t="str">
        <f>"921/16"</f>
        <v>921/16</v>
      </c>
      <c r="D113" s="56">
        <v>42733</v>
      </c>
      <c r="E113" s="56">
        <v>43155</v>
      </c>
      <c r="F113" s="8">
        <v>21167.65</v>
      </c>
      <c r="G113" s="46">
        <v>21361.05</v>
      </c>
      <c r="H113" s="126" t="s">
        <v>1100</v>
      </c>
      <c r="I113" s="156" t="s">
        <v>1616</v>
      </c>
      <c r="J113" s="72"/>
      <c r="K113" s="145"/>
      <c r="L113" s="148"/>
      <c r="M113" s="158"/>
      <c r="N113" s="148"/>
      <c r="O113" s="148"/>
      <c r="P113" s="148"/>
      <c r="Q113" s="148"/>
    </row>
    <row r="114" spans="1:17" s="146" customFormat="1" ht="36" x14ac:dyDescent="0.25">
      <c r="A114" s="127">
        <v>107</v>
      </c>
      <c r="B114" s="60" t="s">
        <v>188</v>
      </c>
      <c r="C114" s="10" t="str">
        <f>"DP-02/9/1-024488/16"</f>
        <v>DP-02/9/1-024488/16</v>
      </c>
      <c r="D114" s="56">
        <v>42719</v>
      </c>
      <c r="E114" s="56">
        <v>43155</v>
      </c>
      <c r="F114" s="8">
        <v>9817.4500000000007</v>
      </c>
      <c r="G114" s="46">
        <v>9817.4500000000007</v>
      </c>
      <c r="H114" s="126" t="s">
        <v>1100</v>
      </c>
      <c r="I114" s="156" t="s">
        <v>1617</v>
      </c>
      <c r="J114" s="72"/>
      <c r="K114" s="145"/>
      <c r="L114" s="148"/>
      <c r="M114" s="158"/>
      <c r="N114" s="148"/>
      <c r="O114" s="148"/>
      <c r="P114" s="148"/>
      <c r="Q114" s="148"/>
    </row>
    <row r="115" spans="1:17" s="146" customFormat="1" ht="36" x14ac:dyDescent="0.25">
      <c r="A115" s="127">
        <v>108</v>
      </c>
      <c r="B115" s="60" t="s">
        <v>192</v>
      </c>
      <c r="C115" s="10" t="str">
        <f>"510/8-C-U-0005/17-90"</f>
        <v>510/8-C-U-0005/17-90</v>
      </c>
      <c r="D115" s="56">
        <v>42758</v>
      </c>
      <c r="E115" s="56">
        <v>43100</v>
      </c>
      <c r="F115" s="8">
        <v>170148.62</v>
      </c>
      <c r="G115" s="46">
        <v>170188.32</v>
      </c>
      <c r="H115" s="126" t="s">
        <v>1100</v>
      </c>
      <c r="I115" s="156" t="s">
        <v>1618</v>
      </c>
      <c r="J115" s="72"/>
      <c r="K115" s="145"/>
      <c r="L115" s="148"/>
      <c r="M115" s="158"/>
      <c r="N115" s="148"/>
      <c r="O115" s="148"/>
      <c r="P115" s="148"/>
      <c r="Q115" s="148"/>
    </row>
    <row r="116" spans="1:17" s="146" customFormat="1" x14ac:dyDescent="0.25">
      <c r="A116" s="127">
        <v>109</v>
      </c>
      <c r="B116" s="60" t="s">
        <v>16</v>
      </c>
      <c r="C116" s="10" t="str">
        <f>"5-2017"</f>
        <v>5-2017</v>
      </c>
      <c r="D116" s="56">
        <v>42753</v>
      </c>
      <c r="E116" s="56">
        <v>43155</v>
      </c>
      <c r="F116" s="8">
        <v>177718.11</v>
      </c>
      <c r="G116" s="46">
        <v>177735.01</v>
      </c>
      <c r="H116" s="126" t="s">
        <v>1100</v>
      </c>
      <c r="I116" s="156" t="s">
        <v>1619</v>
      </c>
      <c r="J116" s="72"/>
      <c r="K116" s="145"/>
      <c r="L116" s="148"/>
      <c r="M116" s="158"/>
      <c r="N116" s="148"/>
      <c r="O116" s="148"/>
      <c r="P116" s="148"/>
      <c r="Q116" s="148"/>
    </row>
    <row r="117" spans="1:17" s="146" customFormat="1" ht="24" x14ac:dyDescent="0.25">
      <c r="A117" s="127">
        <v>110</v>
      </c>
      <c r="B117" s="60" t="s">
        <v>582</v>
      </c>
      <c r="C117" s="10" t="str">
        <f>"DP-02/9/1-024560/16"</f>
        <v>DP-02/9/1-024560/16</v>
      </c>
      <c r="D117" s="56">
        <v>42768</v>
      </c>
      <c r="E117" s="56">
        <v>43155</v>
      </c>
      <c r="F117" s="8">
        <v>235382.86</v>
      </c>
      <c r="G117" s="46">
        <v>249959.7</v>
      </c>
      <c r="H117" s="126" t="s">
        <v>1100</v>
      </c>
      <c r="I117" s="156" t="s">
        <v>1620</v>
      </c>
      <c r="J117" s="72"/>
      <c r="K117" s="145"/>
      <c r="L117" s="148"/>
      <c r="M117" s="158"/>
      <c r="N117" s="148"/>
      <c r="O117" s="148"/>
      <c r="P117" s="148"/>
      <c r="Q117" s="148"/>
    </row>
    <row r="118" spans="1:17" s="146" customFormat="1" ht="24" x14ac:dyDescent="0.25">
      <c r="A118" s="127">
        <v>111</v>
      </c>
      <c r="B118" s="60" t="s">
        <v>941</v>
      </c>
      <c r="C118" s="10" t="str">
        <f>"HZPR 15/2015"</f>
        <v>HZPR 15/2015</v>
      </c>
      <c r="D118" s="56">
        <v>42733</v>
      </c>
      <c r="E118" s="56">
        <v>43155</v>
      </c>
      <c r="F118" s="8">
        <v>23704</v>
      </c>
      <c r="G118" s="46">
        <v>23704</v>
      </c>
      <c r="H118" s="126" t="s">
        <v>1100</v>
      </c>
      <c r="I118" s="156" t="s">
        <v>1621</v>
      </c>
      <c r="J118" s="72"/>
      <c r="K118" s="145"/>
      <c r="L118" s="148"/>
      <c r="M118" s="158"/>
      <c r="N118" s="148"/>
      <c r="O118" s="148"/>
      <c r="P118" s="148"/>
      <c r="Q118" s="148"/>
    </row>
    <row r="119" spans="1:17" s="146" customFormat="1" ht="24" x14ac:dyDescent="0.25">
      <c r="A119" s="127">
        <v>112</v>
      </c>
      <c r="B119" s="60" t="s">
        <v>779</v>
      </c>
      <c r="C119" s="10" t="str">
        <f>"DP-02/9/3-22072/16"</f>
        <v>DP-02/9/3-22072/16</v>
      </c>
      <c r="D119" s="56">
        <v>42702</v>
      </c>
      <c r="E119" s="56">
        <v>43155</v>
      </c>
      <c r="F119" s="8">
        <v>3472</v>
      </c>
      <c r="G119" s="46">
        <v>4340</v>
      </c>
      <c r="H119" s="126" t="s">
        <v>1100</v>
      </c>
      <c r="I119" s="156" t="s">
        <v>1622</v>
      </c>
      <c r="J119" s="72"/>
      <c r="K119" s="145"/>
      <c r="L119" s="148"/>
      <c r="M119" s="158"/>
      <c r="N119" s="148"/>
      <c r="O119" s="148"/>
      <c r="P119" s="148"/>
      <c r="Q119" s="148"/>
    </row>
    <row r="120" spans="1:17" s="146" customFormat="1" x14ac:dyDescent="0.25">
      <c r="A120" s="127">
        <v>113</v>
      </c>
      <c r="B120" s="60" t="s">
        <v>639</v>
      </c>
      <c r="C120" s="10" t="str">
        <f>"URZ-16-22"</f>
        <v>URZ-16-22</v>
      </c>
      <c r="D120" s="56">
        <v>42677</v>
      </c>
      <c r="E120" s="56">
        <v>43155</v>
      </c>
      <c r="F120" s="8">
        <v>27124.1</v>
      </c>
      <c r="G120" s="46">
        <v>33905.129999999997</v>
      </c>
      <c r="H120" s="126" t="s">
        <v>1100</v>
      </c>
      <c r="I120" s="156" t="s">
        <v>1623</v>
      </c>
      <c r="J120" s="72"/>
      <c r="K120" s="145"/>
      <c r="L120" s="148"/>
      <c r="M120" s="158"/>
      <c r="N120" s="148"/>
      <c r="O120" s="148"/>
      <c r="P120" s="148"/>
      <c r="Q120" s="148"/>
    </row>
    <row r="121" spans="1:17" s="146" customFormat="1" ht="48" x14ac:dyDescent="0.25">
      <c r="A121" s="127">
        <v>114</v>
      </c>
      <c r="B121" s="60" t="s">
        <v>506</v>
      </c>
      <c r="C121" s="10" t="str">
        <f>"15/2015"</f>
        <v>15/2015</v>
      </c>
      <c r="D121" s="56">
        <v>42667</v>
      </c>
      <c r="E121" s="56">
        <v>43155</v>
      </c>
      <c r="F121" s="8">
        <v>17781.650000000001</v>
      </c>
      <c r="G121" s="46">
        <v>22227.06</v>
      </c>
      <c r="H121" s="126" t="s">
        <v>1100</v>
      </c>
      <c r="I121" s="156" t="s">
        <v>1624</v>
      </c>
      <c r="J121" s="72"/>
      <c r="K121" s="145"/>
      <c r="L121" s="148"/>
      <c r="M121" s="158"/>
      <c r="N121" s="148"/>
      <c r="O121" s="148"/>
      <c r="P121" s="148"/>
      <c r="Q121" s="148"/>
    </row>
    <row r="122" spans="1:17" s="146" customFormat="1" ht="24" x14ac:dyDescent="0.25">
      <c r="A122" s="127">
        <v>115</v>
      </c>
      <c r="B122" s="60" t="s">
        <v>661</v>
      </c>
      <c r="C122" s="10" t="str">
        <f>"15/2015 -OKSZG"</f>
        <v>15/2015 -OKSZG</v>
      </c>
      <c r="D122" s="56">
        <v>42668</v>
      </c>
      <c r="E122" s="56">
        <v>43155</v>
      </c>
      <c r="F122" s="8">
        <v>1832845.67</v>
      </c>
      <c r="G122" s="46">
        <v>2291057.09</v>
      </c>
      <c r="H122" s="126" t="s">
        <v>1100</v>
      </c>
      <c r="I122" s="156" t="s">
        <v>1625</v>
      </c>
      <c r="J122" s="72"/>
      <c r="K122" s="145"/>
      <c r="L122" s="148"/>
      <c r="M122" s="158"/>
      <c r="N122" s="148"/>
      <c r="O122" s="148"/>
      <c r="P122" s="148"/>
      <c r="Q122" s="148"/>
    </row>
    <row r="123" spans="1:17" s="146" customFormat="1" ht="24" x14ac:dyDescent="0.25">
      <c r="A123" s="127">
        <v>116</v>
      </c>
      <c r="B123" s="60" t="s">
        <v>976</v>
      </c>
      <c r="C123" s="10" t="str">
        <f>"391-40/10.2016"</f>
        <v>391-40/10.2016</v>
      </c>
      <c r="D123" s="56">
        <v>42783</v>
      </c>
      <c r="E123" s="56">
        <v>43155</v>
      </c>
      <c r="F123" s="8">
        <v>9678.7099999999991</v>
      </c>
      <c r="G123" s="46">
        <v>9971.65</v>
      </c>
      <c r="H123" s="126" t="s">
        <v>1478</v>
      </c>
      <c r="I123" s="156" t="s">
        <v>1626</v>
      </c>
      <c r="J123" s="72"/>
      <c r="K123" s="145"/>
      <c r="L123" s="148"/>
      <c r="M123" s="158"/>
      <c r="N123" s="148"/>
      <c r="O123" s="148"/>
      <c r="P123" s="148"/>
      <c r="Q123" s="148"/>
    </row>
    <row r="124" spans="1:17" s="146" customFormat="1" ht="24" x14ac:dyDescent="0.25">
      <c r="A124" s="127">
        <v>117</v>
      </c>
      <c r="B124" s="60" t="s">
        <v>663</v>
      </c>
      <c r="C124" s="10" t="str">
        <f>"11-2016"</f>
        <v>11-2016</v>
      </c>
      <c r="D124" s="56">
        <v>42664</v>
      </c>
      <c r="E124" s="56">
        <v>43155</v>
      </c>
      <c r="F124" s="8">
        <v>222319.9</v>
      </c>
      <c r="G124" s="46">
        <v>224834.9</v>
      </c>
      <c r="H124" s="126" t="s">
        <v>1100</v>
      </c>
      <c r="I124" s="156" t="s">
        <v>1627</v>
      </c>
      <c r="J124" s="72"/>
      <c r="K124" s="145"/>
      <c r="L124" s="148"/>
      <c r="M124" s="158"/>
      <c r="N124" s="148"/>
      <c r="O124" s="148"/>
      <c r="P124" s="148"/>
      <c r="Q124" s="148"/>
    </row>
    <row r="125" spans="1:17" s="146" customFormat="1" ht="24" x14ac:dyDescent="0.25">
      <c r="A125" s="127">
        <v>118</v>
      </c>
      <c r="B125" s="60" t="s">
        <v>764</v>
      </c>
      <c r="C125" s="10" t="str">
        <f>"DP-02/9/1-013618/16"</f>
        <v>DP-02/9/1-013618/16</v>
      </c>
      <c r="D125" s="56">
        <v>42646</v>
      </c>
      <c r="E125" s="56">
        <v>43155</v>
      </c>
      <c r="F125" s="8">
        <v>36620</v>
      </c>
      <c r="G125" s="46">
        <v>38462</v>
      </c>
      <c r="H125" s="126" t="s">
        <v>1100</v>
      </c>
      <c r="I125" s="156" t="s">
        <v>1628</v>
      </c>
      <c r="J125" s="72"/>
      <c r="K125" s="145"/>
      <c r="L125" s="148"/>
      <c r="M125" s="158"/>
      <c r="N125" s="148"/>
      <c r="O125" s="148"/>
      <c r="P125" s="148"/>
      <c r="Q125" s="148"/>
    </row>
    <row r="126" spans="1:17" s="146" customFormat="1" ht="48" x14ac:dyDescent="0.25">
      <c r="A126" s="127">
        <v>119</v>
      </c>
      <c r="B126" s="60" t="s">
        <v>796</v>
      </c>
      <c r="C126" s="10" t="str">
        <f>"U-OS 2/2016"</f>
        <v>U-OS 2/2016</v>
      </c>
      <c r="D126" s="56">
        <v>42643</v>
      </c>
      <c r="E126" s="56">
        <v>43155</v>
      </c>
      <c r="F126" s="8">
        <v>34260.519999999997</v>
      </c>
      <c r="G126" s="46">
        <v>42825.65</v>
      </c>
      <c r="H126" s="126" t="s">
        <v>1100</v>
      </c>
      <c r="I126" s="156" t="s">
        <v>1629</v>
      </c>
      <c r="J126" s="72"/>
      <c r="K126" s="145"/>
      <c r="L126" s="148"/>
      <c r="M126" s="158"/>
      <c r="N126" s="148"/>
      <c r="O126" s="148"/>
      <c r="P126" s="148"/>
      <c r="Q126" s="148"/>
    </row>
    <row r="127" spans="1:17" s="146" customFormat="1" ht="24" x14ac:dyDescent="0.25">
      <c r="A127" s="127">
        <v>120</v>
      </c>
      <c r="B127" s="60" t="s">
        <v>893</v>
      </c>
      <c r="C127" s="10" t="str">
        <f>"V-4/2016"</f>
        <v>V-4/2016</v>
      </c>
      <c r="D127" s="56">
        <v>42641</v>
      </c>
      <c r="E127" s="56">
        <v>43155</v>
      </c>
      <c r="F127" s="8">
        <v>17788521.350000001</v>
      </c>
      <c r="G127" s="46">
        <v>17933351.760000002</v>
      </c>
      <c r="H127" s="126" t="s">
        <v>1100</v>
      </c>
      <c r="I127" s="156" t="s">
        <v>1630</v>
      </c>
      <c r="J127" s="72"/>
      <c r="K127" s="145"/>
      <c r="L127" s="148"/>
      <c r="M127" s="158"/>
      <c r="N127" s="148"/>
      <c r="O127" s="148"/>
      <c r="P127" s="148"/>
      <c r="Q127" s="148"/>
    </row>
    <row r="128" spans="1:17" s="146" customFormat="1" ht="24" x14ac:dyDescent="0.25">
      <c r="A128" s="127">
        <v>121</v>
      </c>
      <c r="B128" s="60" t="s">
        <v>928</v>
      </c>
      <c r="C128" s="10" t="str">
        <f>"01/2016"</f>
        <v>01/2016</v>
      </c>
      <c r="D128" s="56">
        <v>42639</v>
      </c>
      <c r="E128" s="56">
        <v>43155</v>
      </c>
      <c r="F128" s="8">
        <v>10857.3</v>
      </c>
      <c r="G128" s="46">
        <v>10952.3</v>
      </c>
      <c r="H128" s="126" t="s">
        <v>1100</v>
      </c>
      <c r="I128" s="156" t="s">
        <v>1631</v>
      </c>
      <c r="J128" s="72"/>
      <c r="K128" s="145"/>
      <c r="M128" s="158"/>
      <c r="N128" s="148"/>
      <c r="O128" s="148"/>
      <c r="P128" s="148"/>
      <c r="Q128" s="148"/>
    </row>
    <row r="129" spans="1:17" s="146" customFormat="1" ht="36" x14ac:dyDescent="0.25">
      <c r="A129" s="127">
        <v>122</v>
      </c>
      <c r="B129" s="60" t="s">
        <v>599</v>
      </c>
      <c r="C129" s="10" t="str">
        <f>"035-01/16-01/01"</f>
        <v>035-01/16-01/01</v>
      </c>
      <c r="D129" s="56">
        <v>42632</v>
      </c>
      <c r="E129" s="56">
        <v>43155</v>
      </c>
      <c r="F129" s="8">
        <v>140654.88</v>
      </c>
      <c r="G129" s="46">
        <v>143016.12</v>
      </c>
      <c r="H129" s="126" t="s">
        <v>1100</v>
      </c>
      <c r="I129" s="156" t="s">
        <v>1632</v>
      </c>
      <c r="J129" s="72"/>
      <c r="K129" s="145"/>
      <c r="M129" s="158"/>
      <c r="N129" s="148"/>
      <c r="O129" s="148"/>
      <c r="P129" s="148"/>
      <c r="Q129" s="148"/>
    </row>
    <row r="130" spans="1:17" s="146" customFormat="1" ht="36" x14ac:dyDescent="0.25">
      <c r="A130" s="127">
        <v>123</v>
      </c>
      <c r="B130" s="60" t="s">
        <v>488</v>
      </c>
      <c r="C130" s="10" t="str">
        <f>"406-01/16-01/24"</f>
        <v>406-01/16-01/24</v>
      </c>
      <c r="D130" s="56">
        <v>42627</v>
      </c>
      <c r="E130" s="56">
        <v>43155</v>
      </c>
      <c r="F130" s="8">
        <v>194489.76</v>
      </c>
      <c r="G130" s="154"/>
      <c r="H130" s="126" t="s">
        <v>1100</v>
      </c>
      <c r="I130" s="156" t="s">
        <v>1633</v>
      </c>
      <c r="J130" s="72"/>
      <c r="K130" s="145"/>
      <c r="M130" s="158"/>
      <c r="N130" s="148"/>
      <c r="O130" s="148"/>
      <c r="P130" s="148"/>
      <c r="Q130" s="148"/>
    </row>
    <row r="131" spans="1:17" s="146" customFormat="1" ht="36" x14ac:dyDescent="0.25">
      <c r="A131" s="127">
        <v>124</v>
      </c>
      <c r="B131" s="60" t="s">
        <v>977</v>
      </c>
      <c r="C131" s="10" t="str">
        <f>"1234"</f>
        <v>1234</v>
      </c>
      <c r="D131" s="56">
        <v>42627</v>
      </c>
      <c r="E131" s="56">
        <v>43155</v>
      </c>
      <c r="F131" s="8">
        <v>4910.08</v>
      </c>
      <c r="G131" s="46">
        <v>6137.6</v>
      </c>
      <c r="H131" s="126" t="s">
        <v>1100</v>
      </c>
      <c r="I131" s="156" t="s">
        <v>1634</v>
      </c>
      <c r="J131" s="72"/>
      <c r="K131" s="145"/>
      <c r="M131" s="158"/>
      <c r="N131" s="148"/>
      <c r="O131" s="148"/>
      <c r="P131" s="148"/>
      <c r="Q131" s="148"/>
    </row>
    <row r="132" spans="1:17" s="146" customFormat="1" ht="24" x14ac:dyDescent="0.25">
      <c r="A132" s="127">
        <v>125</v>
      </c>
      <c r="B132" s="60" t="s">
        <v>678</v>
      </c>
      <c r="C132" s="10" t="str">
        <f>"01092016"</f>
        <v>01092016</v>
      </c>
      <c r="D132" s="56">
        <v>42614</v>
      </c>
      <c r="E132" s="56">
        <v>43155</v>
      </c>
      <c r="F132" s="8">
        <v>75205.350000000006</v>
      </c>
      <c r="G132" s="46">
        <v>77455.100000000006</v>
      </c>
      <c r="H132" s="126" t="s">
        <v>1100</v>
      </c>
      <c r="I132" s="156" t="s">
        <v>1635</v>
      </c>
      <c r="J132" s="72"/>
      <c r="K132" s="145"/>
      <c r="M132" s="158"/>
      <c r="N132" s="148"/>
      <c r="O132" s="148"/>
      <c r="P132" s="148"/>
      <c r="Q132" s="148"/>
    </row>
    <row r="133" spans="1:17" s="146" customFormat="1" ht="24" x14ac:dyDescent="0.25">
      <c r="A133" s="127">
        <v>126</v>
      </c>
      <c r="B133" s="60" t="s">
        <v>767</v>
      </c>
      <c r="C133" s="10" t="str">
        <f>"DP-02/9/1-014968/16"</f>
        <v>DP-02/9/1-014968/16</v>
      </c>
      <c r="D133" s="56">
        <v>42572</v>
      </c>
      <c r="E133" s="56">
        <v>43155</v>
      </c>
      <c r="F133" s="8">
        <v>47754.2</v>
      </c>
      <c r="G133" s="46">
        <v>59692.75</v>
      </c>
      <c r="H133" s="126" t="s">
        <v>1100</v>
      </c>
      <c r="I133" s="156" t="s">
        <v>1636</v>
      </c>
      <c r="J133" s="72"/>
      <c r="K133" s="145"/>
      <c r="M133" s="158"/>
      <c r="N133" s="148"/>
      <c r="O133" s="148"/>
      <c r="P133" s="148"/>
      <c r="Q133" s="148"/>
    </row>
    <row r="134" spans="1:17" s="146" customFormat="1" ht="24" x14ac:dyDescent="0.25">
      <c r="A134" s="127">
        <v>127</v>
      </c>
      <c r="B134" s="60" t="s">
        <v>978</v>
      </c>
      <c r="C134" s="10" t="str">
        <f>"DP-02/9/3-20613/15"</f>
        <v>DP-02/9/3-20613/15</v>
      </c>
      <c r="D134" s="56">
        <v>42241</v>
      </c>
      <c r="E134" s="56">
        <v>43155</v>
      </c>
      <c r="F134" s="8">
        <v>726909.98</v>
      </c>
      <c r="G134" s="46">
        <v>726909.98</v>
      </c>
      <c r="H134" s="126" t="s">
        <v>1100</v>
      </c>
      <c r="I134" s="156" t="s">
        <v>1101</v>
      </c>
      <c r="J134" s="72"/>
      <c r="K134" s="145"/>
      <c r="M134" s="158"/>
      <c r="N134" s="148"/>
      <c r="O134" s="148"/>
      <c r="P134" s="148"/>
      <c r="Q134" s="148"/>
    </row>
    <row r="135" spans="1:17" s="146" customFormat="1" ht="24" x14ac:dyDescent="0.25">
      <c r="A135" s="127">
        <v>128</v>
      </c>
      <c r="B135" s="60" t="s">
        <v>959</v>
      </c>
      <c r="C135" s="10" t="str">
        <f>"DP-02/9/1-014774/16"</f>
        <v>DP-02/9/1-014774/16</v>
      </c>
      <c r="D135" s="56">
        <v>42607</v>
      </c>
      <c r="E135" s="56">
        <v>43155</v>
      </c>
      <c r="F135" s="8">
        <v>10387.41</v>
      </c>
      <c r="G135" s="46">
        <v>10655.95</v>
      </c>
      <c r="H135" s="126" t="s">
        <v>1100</v>
      </c>
      <c r="I135" s="156" t="s">
        <v>1637</v>
      </c>
      <c r="J135" s="72"/>
      <c r="K135" s="145"/>
      <c r="M135" s="158"/>
      <c r="N135" s="148"/>
      <c r="O135" s="148"/>
      <c r="P135" s="148"/>
      <c r="Q135" s="148"/>
    </row>
    <row r="136" spans="1:17" s="146" customFormat="1" ht="24" x14ac:dyDescent="0.25">
      <c r="A136" s="127">
        <v>129</v>
      </c>
      <c r="B136" s="60" t="s">
        <v>979</v>
      </c>
      <c r="C136" s="10" t="str">
        <f>"HRV.POŠTA"</f>
        <v>HRV.POŠTA</v>
      </c>
      <c r="D136" s="56">
        <v>42606</v>
      </c>
      <c r="E136" s="56">
        <v>43155</v>
      </c>
      <c r="F136" s="8">
        <v>46887.5</v>
      </c>
      <c r="G136" s="46">
        <v>51447.5</v>
      </c>
      <c r="H136" s="126" t="s">
        <v>1100</v>
      </c>
      <c r="I136" s="156" t="s">
        <v>1638</v>
      </c>
      <c r="J136" s="72"/>
      <c r="K136" s="145"/>
      <c r="M136" s="158"/>
      <c r="N136" s="148"/>
      <c r="O136" s="148"/>
      <c r="P136" s="148"/>
      <c r="Q136" s="148"/>
    </row>
    <row r="137" spans="1:17" s="146" customFormat="1" x14ac:dyDescent="0.25">
      <c r="A137" s="127">
        <v>130</v>
      </c>
      <c r="B137" s="60" t="s">
        <v>951</v>
      </c>
      <c r="C137" s="10" t="str">
        <f>"DOV-103/2015"</f>
        <v>DOV-103/2015</v>
      </c>
      <c r="D137" s="56">
        <v>42591</v>
      </c>
      <c r="E137" s="56">
        <v>43155</v>
      </c>
      <c r="F137" s="8">
        <v>14543.07</v>
      </c>
      <c r="G137" s="46">
        <v>14716.35</v>
      </c>
      <c r="H137" s="126" t="s">
        <v>1100</v>
      </c>
      <c r="I137" s="156" t="s">
        <v>1639</v>
      </c>
      <c r="J137" s="72"/>
      <c r="K137" s="145"/>
      <c r="M137" s="158"/>
      <c r="N137" s="148"/>
      <c r="O137" s="148"/>
      <c r="P137" s="148"/>
      <c r="Q137" s="148"/>
    </row>
    <row r="138" spans="1:17" s="146" customFormat="1" ht="36" x14ac:dyDescent="0.25">
      <c r="A138" s="127">
        <v>131</v>
      </c>
      <c r="B138" s="60" t="s">
        <v>519</v>
      </c>
      <c r="C138" s="10" t="str">
        <f>"URBROJ: 251-69-01-16-3"</f>
        <v>URBROJ: 251-69-01-16-3</v>
      </c>
      <c r="D138" s="56">
        <v>42865</v>
      </c>
      <c r="E138" s="56">
        <v>43155</v>
      </c>
      <c r="F138" s="8">
        <v>73256.72</v>
      </c>
      <c r="G138" s="46">
        <v>91570.9</v>
      </c>
      <c r="H138" s="126" t="s">
        <v>1100</v>
      </c>
      <c r="I138" s="156" t="s">
        <v>1640</v>
      </c>
      <c r="J138" s="72"/>
      <c r="K138" s="145"/>
      <c r="M138" s="158"/>
      <c r="N138" s="148"/>
      <c r="O138" s="148"/>
      <c r="P138" s="148"/>
      <c r="Q138" s="148"/>
    </row>
    <row r="139" spans="1:17" s="146" customFormat="1" ht="24" x14ac:dyDescent="0.25">
      <c r="A139" s="127">
        <v>132</v>
      </c>
      <c r="B139" s="60" t="s">
        <v>757</v>
      </c>
      <c r="C139" s="10" t="str">
        <f>"371-16-2"</f>
        <v>371-16-2</v>
      </c>
      <c r="D139" s="56">
        <v>42583</v>
      </c>
      <c r="E139" s="56">
        <v>43155</v>
      </c>
      <c r="F139" s="8">
        <v>168925</v>
      </c>
      <c r="G139" s="46">
        <v>211156.25</v>
      </c>
      <c r="H139" s="126" t="s">
        <v>1100</v>
      </c>
      <c r="I139" s="156" t="s">
        <v>1641</v>
      </c>
      <c r="J139" s="72"/>
      <c r="K139" s="145"/>
      <c r="M139" s="158"/>
      <c r="N139" s="148"/>
      <c r="O139" s="148"/>
      <c r="P139" s="148"/>
      <c r="Q139" s="148"/>
    </row>
    <row r="140" spans="1:17" s="146" customFormat="1" ht="24" x14ac:dyDescent="0.25">
      <c r="A140" s="127">
        <v>133</v>
      </c>
      <c r="B140" s="60" t="s">
        <v>555</v>
      </c>
      <c r="C140" s="10" t="str">
        <f>"003-36/16-02/01"</f>
        <v>003-36/16-02/01</v>
      </c>
      <c r="D140" s="56">
        <v>42578</v>
      </c>
      <c r="E140" s="56">
        <v>43155</v>
      </c>
      <c r="F140" s="8">
        <v>3647.2</v>
      </c>
      <c r="G140" s="154"/>
      <c r="H140" s="126" t="s">
        <v>1100</v>
      </c>
      <c r="I140" s="156" t="s">
        <v>1642</v>
      </c>
      <c r="J140" s="72"/>
      <c r="K140" s="145"/>
      <c r="M140" s="158"/>
      <c r="N140" s="148"/>
      <c r="O140" s="148"/>
      <c r="P140" s="148"/>
      <c r="Q140" s="148"/>
    </row>
    <row r="141" spans="1:17" s="146" customFormat="1" ht="36" x14ac:dyDescent="0.25">
      <c r="A141" s="127">
        <v>134</v>
      </c>
      <c r="B141" s="60" t="s">
        <v>887</v>
      </c>
      <c r="C141" s="10" t="str">
        <f>"DP-02/9/1-013999/16"</f>
        <v>DP-02/9/1-013999/16</v>
      </c>
      <c r="D141" s="56">
        <v>42566</v>
      </c>
      <c r="E141" s="56">
        <v>43155</v>
      </c>
      <c r="F141" s="8">
        <v>77344.960000000006</v>
      </c>
      <c r="G141" s="46">
        <v>80631.039999999994</v>
      </c>
      <c r="H141" s="126" t="s">
        <v>1100</v>
      </c>
      <c r="I141" s="156" t="s">
        <v>1643</v>
      </c>
      <c r="J141" s="72"/>
      <c r="K141" s="145"/>
      <c r="M141" s="158"/>
      <c r="N141" s="148"/>
      <c r="O141" s="148"/>
      <c r="P141" s="148"/>
      <c r="Q141" s="148"/>
    </row>
    <row r="142" spans="1:17" s="146" customFormat="1" ht="36" x14ac:dyDescent="0.25">
      <c r="A142" s="127">
        <v>135</v>
      </c>
      <c r="B142" s="60" t="s">
        <v>634</v>
      </c>
      <c r="C142" s="10" t="str">
        <f>"DP-02/9/5-14250/16"</f>
        <v>DP-02/9/5-14250/16</v>
      </c>
      <c r="D142" s="56">
        <v>42565</v>
      </c>
      <c r="E142" s="56">
        <v>43155</v>
      </c>
      <c r="F142" s="8">
        <v>36591.339999999997</v>
      </c>
      <c r="G142" s="46">
        <v>36655.050000000003</v>
      </c>
      <c r="H142" s="126" t="s">
        <v>1100</v>
      </c>
      <c r="I142" s="156" t="s">
        <v>1644</v>
      </c>
      <c r="J142" s="72"/>
      <c r="K142" s="145"/>
      <c r="M142" s="158"/>
      <c r="N142" s="148"/>
      <c r="O142" s="148"/>
      <c r="P142" s="148"/>
      <c r="Q142" s="148"/>
    </row>
    <row r="143" spans="1:17" s="146" customFormat="1" ht="24" x14ac:dyDescent="0.25">
      <c r="A143" s="127">
        <v>136</v>
      </c>
      <c r="B143" s="60" t="s">
        <v>597</v>
      </c>
      <c r="C143" s="10" t="str">
        <f>"102101/2021"</f>
        <v>102101/2021</v>
      </c>
      <c r="D143" s="56">
        <v>42562</v>
      </c>
      <c r="E143" s="56">
        <v>43154</v>
      </c>
      <c r="F143" s="8">
        <v>1624073.69</v>
      </c>
      <c r="G143" s="46">
        <v>1630795.13</v>
      </c>
      <c r="H143" s="126" t="s">
        <v>1100</v>
      </c>
      <c r="I143" s="156" t="s">
        <v>1645</v>
      </c>
      <c r="J143" s="72"/>
      <c r="K143" s="145"/>
      <c r="M143" s="158"/>
      <c r="N143" s="148"/>
      <c r="O143" s="148"/>
      <c r="P143" s="148"/>
      <c r="Q143" s="148"/>
    </row>
    <row r="144" spans="1:17" s="146" customFormat="1" ht="24" x14ac:dyDescent="0.25">
      <c r="A144" s="127">
        <v>137</v>
      </c>
      <c r="B144" s="60" t="s">
        <v>924</v>
      </c>
      <c r="C144" s="10" t="str">
        <f>"01-100/037-16"</f>
        <v>01-100/037-16</v>
      </c>
      <c r="D144" s="56">
        <v>42559</v>
      </c>
      <c r="E144" s="56">
        <v>43155</v>
      </c>
      <c r="F144" s="8">
        <v>523884.2</v>
      </c>
      <c r="G144" s="46">
        <v>523884.2</v>
      </c>
      <c r="H144" s="126" t="s">
        <v>1100</v>
      </c>
      <c r="I144" s="156" t="s">
        <v>1646</v>
      </c>
      <c r="J144" s="72"/>
      <c r="K144" s="145"/>
      <c r="M144" s="158"/>
      <c r="N144" s="148"/>
      <c r="O144" s="148"/>
      <c r="P144" s="148"/>
      <c r="Q144" s="148"/>
    </row>
    <row r="145" spans="1:17" s="146" customFormat="1" ht="24" x14ac:dyDescent="0.25">
      <c r="A145" s="127">
        <v>138</v>
      </c>
      <c r="B145" s="60" t="s">
        <v>964</v>
      </c>
      <c r="C145" s="10" t="str">
        <f>"OJN 01/16"</f>
        <v>OJN 01/16</v>
      </c>
      <c r="D145" s="56">
        <v>42556</v>
      </c>
      <c r="E145" s="56">
        <v>43155</v>
      </c>
      <c r="F145" s="8">
        <v>63102.6</v>
      </c>
      <c r="G145" s="46">
        <v>64729.72</v>
      </c>
      <c r="H145" s="126" t="s">
        <v>1100</v>
      </c>
      <c r="I145" s="156" t="s">
        <v>1647</v>
      </c>
      <c r="J145" s="72"/>
      <c r="K145" s="145"/>
      <c r="M145" s="158"/>
      <c r="N145" s="148"/>
      <c r="O145" s="148"/>
      <c r="P145" s="148"/>
      <c r="Q145" s="148"/>
    </row>
    <row r="146" spans="1:17" s="146" customFormat="1" ht="24" x14ac:dyDescent="0.25">
      <c r="A146" s="127">
        <v>139</v>
      </c>
      <c r="B146" s="60" t="s">
        <v>575</v>
      </c>
      <c r="C146" s="10" t="str">
        <f>"DP-02/9/3-11839/16"</f>
        <v>DP-02/9/3-11839/16</v>
      </c>
      <c r="D146" s="56">
        <v>42527</v>
      </c>
      <c r="E146" s="56">
        <v>43155</v>
      </c>
      <c r="F146" s="8">
        <v>3482.3</v>
      </c>
      <c r="G146" s="46">
        <v>3482.3</v>
      </c>
      <c r="H146" s="126" t="s">
        <v>1100</v>
      </c>
      <c r="I146" s="156" t="s">
        <v>1648</v>
      </c>
      <c r="J146" s="72"/>
      <c r="K146" s="145"/>
      <c r="M146" s="158"/>
      <c r="N146" s="148"/>
      <c r="O146" s="148"/>
      <c r="P146" s="148"/>
      <c r="Q146" s="148"/>
    </row>
    <row r="147" spans="1:17" s="146" customFormat="1" ht="36" x14ac:dyDescent="0.25">
      <c r="A147" s="127">
        <v>140</v>
      </c>
      <c r="B147" s="60" t="s">
        <v>686</v>
      </c>
      <c r="C147" s="10" t="str">
        <f>"UDUPGZ/5/16"</f>
        <v>UDUPGZ/5/16</v>
      </c>
      <c r="D147" s="56">
        <v>42542</v>
      </c>
      <c r="E147" s="56">
        <v>42916</v>
      </c>
      <c r="F147" s="8">
        <v>487945.42</v>
      </c>
      <c r="G147" s="46">
        <v>488066.88</v>
      </c>
      <c r="H147" s="126" t="s">
        <v>1105</v>
      </c>
      <c r="I147" s="156" t="s">
        <v>1649</v>
      </c>
      <c r="J147" s="72"/>
      <c r="K147" s="145"/>
      <c r="M147" s="158"/>
      <c r="N147" s="148"/>
      <c r="O147" s="148"/>
      <c r="P147" s="148"/>
      <c r="Q147" s="148"/>
    </row>
    <row r="148" spans="1:17" s="146" customFormat="1" ht="36" x14ac:dyDescent="0.25">
      <c r="A148" s="127">
        <v>141</v>
      </c>
      <c r="B148" s="60" t="s">
        <v>708</v>
      </c>
      <c r="C148" s="10" t="str">
        <f>"DP-02/9/5-6628/16"</f>
        <v>DP-02/9/5-6628/16</v>
      </c>
      <c r="D148" s="56">
        <v>42485</v>
      </c>
      <c r="E148" s="56">
        <v>43281</v>
      </c>
      <c r="F148" s="8">
        <v>61127.6</v>
      </c>
      <c r="G148" s="46">
        <v>61559.4</v>
      </c>
      <c r="H148" s="126" t="s">
        <v>1100</v>
      </c>
      <c r="I148" s="156" t="s">
        <v>1650</v>
      </c>
      <c r="J148" s="72"/>
      <c r="K148" s="145"/>
      <c r="M148" s="158"/>
      <c r="N148" s="148"/>
      <c r="O148" s="148"/>
      <c r="P148" s="148"/>
      <c r="Q148" s="148"/>
    </row>
    <row r="149" spans="1:17" s="146" customFormat="1" ht="24" x14ac:dyDescent="0.25">
      <c r="A149" s="127">
        <v>142</v>
      </c>
      <c r="B149" s="60" t="s">
        <v>538</v>
      </c>
      <c r="C149" s="10" t="str">
        <f>"457/16"</f>
        <v>457/16</v>
      </c>
      <c r="D149" s="56">
        <v>42485</v>
      </c>
      <c r="E149" s="56">
        <v>43281</v>
      </c>
      <c r="F149" s="8">
        <v>60603.64</v>
      </c>
      <c r="G149" s="46">
        <v>61764.93</v>
      </c>
      <c r="H149" s="126" t="s">
        <v>1100</v>
      </c>
      <c r="I149" s="156" t="s">
        <v>1651</v>
      </c>
      <c r="J149" s="72"/>
      <c r="K149" s="145"/>
      <c r="M149" s="158"/>
      <c r="N149" s="148"/>
      <c r="O149" s="148"/>
      <c r="P149" s="148"/>
      <c r="Q149" s="148"/>
    </row>
    <row r="150" spans="1:17" s="146" customFormat="1" x14ac:dyDescent="0.25">
      <c r="A150" s="127">
        <v>143</v>
      </c>
      <c r="B150" s="60" t="s">
        <v>523</v>
      </c>
      <c r="C150" s="10" t="str">
        <f>"MV-02/2016"</f>
        <v>MV-02/2016</v>
      </c>
      <c r="D150" s="56">
        <v>42550</v>
      </c>
      <c r="E150" s="56">
        <v>43155</v>
      </c>
      <c r="F150" s="8">
        <v>345224.27</v>
      </c>
      <c r="G150" s="46">
        <v>376245.95</v>
      </c>
      <c r="H150" s="126" t="s">
        <v>1100</v>
      </c>
      <c r="I150" s="156" t="s">
        <v>1652</v>
      </c>
      <c r="J150" s="72"/>
      <c r="K150" s="145"/>
      <c r="M150" s="158"/>
      <c r="N150" s="148"/>
      <c r="O150" s="148"/>
      <c r="P150" s="148"/>
      <c r="Q150" s="148"/>
    </row>
    <row r="151" spans="1:17" s="146" customFormat="1" ht="24" x14ac:dyDescent="0.25">
      <c r="A151" s="127">
        <v>144</v>
      </c>
      <c r="B151" s="60" t="s">
        <v>546</v>
      </c>
      <c r="C151" s="10" t="str">
        <f>"DP-02/9/5-013387/16"</f>
        <v>DP-02/9/5-013387/16</v>
      </c>
      <c r="D151" s="56">
        <v>42549</v>
      </c>
      <c r="E151" s="56">
        <v>43155</v>
      </c>
      <c r="F151" s="8">
        <v>8596.35</v>
      </c>
      <c r="G151" s="46">
        <v>9204.42</v>
      </c>
      <c r="H151" s="126" t="s">
        <v>1100</v>
      </c>
      <c r="I151" s="156" t="s">
        <v>1653</v>
      </c>
      <c r="J151" s="72"/>
      <c r="K151" s="145"/>
      <c r="M151" s="158"/>
      <c r="N151" s="148"/>
      <c r="O151" s="148"/>
      <c r="P151" s="148"/>
      <c r="Q151" s="148"/>
    </row>
    <row r="152" spans="1:17" s="146" customFormat="1" ht="24" x14ac:dyDescent="0.25">
      <c r="A152" s="127">
        <v>145</v>
      </c>
      <c r="B152" s="60" t="s">
        <v>613</v>
      </c>
      <c r="C152" s="10" t="str">
        <f>"DP-02/9/1-012973/16"</f>
        <v>DP-02/9/1-012973/16</v>
      </c>
      <c r="D152" s="56">
        <v>42549</v>
      </c>
      <c r="E152" s="56">
        <v>43278</v>
      </c>
      <c r="F152" s="8">
        <v>110860</v>
      </c>
      <c r="G152" s="46">
        <v>138575</v>
      </c>
      <c r="H152" s="126" t="s">
        <v>1100</v>
      </c>
      <c r="I152" s="156" t="s">
        <v>1654</v>
      </c>
      <c r="J152" s="72"/>
      <c r="K152" s="145"/>
      <c r="M152" s="158"/>
      <c r="N152" s="148"/>
      <c r="O152" s="148"/>
      <c r="P152" s="148"/>
      <c r="Q152" s="148"/>
    </row>
    <row r="153" spans="1:17" s="146" customFormat="1" ht="36" x14ac:dyDescent="0.25">
      <c r="A153" s="127">
        <v>146</v>
      </c>
      <c r="B153" s="60" t="s">
        <v>631</v>
      </c>
      <c r="C153" s="10" t="str">
        <f>"2/2015-1/15"</f>
        <v>2/2015-1/15</v>
      </c>
      <c r="D153" s="56">
        <v>42541</v>
      </c>
      <c r="E153" s="56">
        <v>43118</v>
      </c>
      <c r="F153" s="8">
        <v>167931.2</v>
      </c>
      <c r="G153" s="46">
        <v>172748.7</v>
      </c>
      <c r="H153" s="126" t="s">
        <v>1100</v>
      </c>
      <c r="I153" s="156" t="s">
        <v>1655</v>
      </c>
      <c r="J153" s="72"/>
      <c r="K153" s="145"/>
      <c r="M153" s="158"/>
      <c r="N153" s="148"/>
      <c r="O153" s="148"/>
      <c r="P153" s="148"/>
      <c r="Q153" s="148"/>
    </row>
    <row r="154" spans="1:17" s="146" customFormat="1" ht="36" x14ac:dyDescent="0.25">
      <c r="A154" s="127">
        <v>147</v>
      </c>
      <c r="B154" s="60" t="s">
        <v>927</v>
      </c>
      <c r="C154" s="10" t="str">
        <f>"740-06/16-01/01 251-64-0116-33"</f>
        <v>740-06/16-01/01 251-64-0116-33</v>
      </c>
      <c r="D154" s="56">
        <v>42541</v>
      </c>
      <c r="E154" s="56">
        <v>43155</v>
      </c>
      <c r="F154" s="8">
        <v>83461.600000000006</v>
      </c>
      <c r="G154" s="46">
        <v>87960</v>
      </c>
      <c r="H154" s="126" t="s">
        <v>1102</v>
      </c>
      <c r="I154" s="156" t="s">
        <v>1656</v>
      </c>
      <c r="J154" s="72"/>
      <c r="K154" s="145"/>
      <c r="M154" s="158"/>
      <c r="N154" s="148"/>
      <c r="O154" s="148"/>
      <c r="P154" s="148"/>
      <c r="Q154" s="148"/>
    </row>
    <row r="155" spans="1:17" s="146" customFormat="1" ht="36" x14ac:dyDescent="0.25">
      <c r="A155" s="127">
        <v>148</v>
      </c>
      <c r="B155" s="60" t="s">
        <v>601</v>
      </c>
      <c r="C155" s="10" t="str">
        <f>"7-46/0-2016"</f>
        <v>7-46/0-2016</v>
      </c>
      <c r="D155" s="56">
        <v>42534</v>
      </c>
      <c r="E155" s="56">
        <v>43159</v>
      </c>
      <c r="F155" s="8">
        <v>82227.7</v>
      </c>
      <c r="G155" s="46">
        <v>92019.7</v>
      </c>
      <c r="H155" s="126" t="s">
        <v>1100</v>
      </c>
      <c r="I155" s="156" t="s">
        <v>1657</v>
      </c>
      <c r="J155" s="72"/>
      <c r="K155" s="145"/>
      <c r="M155" s="158"/>
      <c r="N155" s="148"/>
      <c r="O155" s="148"/>
      <c r="P155" s="148"/>
      <c r="Q155" s="148"/>
    </row>
    <row r="156" spans="1:17" s="146" customFormat="1" ht="24" x14ac:dyDescent="0.25">
      <c r="A156" s="127">
        <v>149</v>
      </c>
      <c r="B156" s="60" t="s">
        <v>813</v>
      </c>
      <c r="C156" s="10" t="str">
        <f>"KLASA: 406-01/15-01/46"</f>
        <v>KLASA: 406-01/15-01/46</v>
      </c>
      <c r="D156" s="56">
        <v>42538</v>
      </c>
      <c r="E156" s="56">
        <v>42902</v>
      </c>
      <c r="F156" s="8">
        <v>1266768.28</v>
      </c>
      <c r="G156" s="46">
        <v>1266768.28</v>
      </c>
      <c r="H156" s="126" t="s">
        <v>1103</v>
      </c>
      <c r="I156" s="156" t="s">
        <v>1658</v>
      </c>
      <c r="J156" s="72"/>
      <c r="K156" s="145"/>
      <c r="M156" s="158"/>
      <c r="N156" s="148"/>
      <c r="O156" s="148"/>
      <c r="P156" s="148"/>
      <c r="Q156" s="148"/>
    </row>
    <row r="157" spans="1:17" s="146" customFormat="1" ht="48" x14ac:dyDescent="0.25">
      <c r="A157" s="127">
        <v>150</v>
      </c>
      <c r="B157" s="60" t="s">
        <v>844</v>
      </c>
      <c r="C157" s="10" t="str">
        <f>"DP-02/9/5-12646/16"</f>
        <v>DP-02/9/5-12646/16</v>
      </c>
      <c r="D157" s="56">
        <v>42538</v>
      </c>
      <c r="E157" s="56">
        <v>43155</v>
      </c>
      <c r="F157" s="8">
        <v>6725.14</v>
      </c>
      <c r="G157" s="46">
        <v>6872.38</v>
      </c>
      <c r="H157" s="126" t="s">
        <v>1100</v>
      </c>
      <c r="I157" s="156" t="s">
        <v>1659</v>
      </c>
      <c r="J157" s="72"/>
      <c r="K157" s="145"/>
      <c r="M157" s="158"/>
      <c r="N157" s="148"/>
      <c r="O157" s="148"/>
      <c r="P157" s="148"/>
      <c r="Q157" s="148"/>
    </row>
    <row r="158" spans="1:17" s="146" customFormat="1" ht="24" x14ac:dyDescent="0.25">
      <c r="A158" s="127">
        <v>151</v>
      </c>
      <c r="B158" s="60" t="s">
        <v>536</v>
      </c>
      <c r="C158" s="10" t="str">
        <f>"U-0147-2016-80"</f>
        <v>U-0147-2016-80</v>
      </c>
      <c r="D158" s="118">
        <v>42530</v>
      </c>
      <c r="E158" s="118">
        <v>43155</v>
      </c>
      <c r="F158" s="121">
        <v>29202</v>
      </c>
      <c r="G158" s="155">
        <v>36502.5</v>
      </c>
      <c r="H158" s="126" t="s">
        <v>1100</v>
      </c>
      <c r="I158" s="156" t="s">
        <v>1660</v>
      </c>
      <c r="J158" s="72"/>
      <c r="K158" s="145"/>
      <c r="M158" s="158"/>
      <c r="N158" s="148"/>
      <c r="O158" s="148"/>
      <c r="P158" s="148"/>
      <c r="Q158" s="148"/>
    </row>
    <row r="159" spans="1:17" s="146" customFormat="1" ht="24" x14ac:dyDescent="0.25">
      <c r="A159" s="127">
        <v>152</v>
      </c>
      <c r="B159" s="60" t="s">
        <v>780</v>
      </c>
      <c r="C159" s="10" t="str">
        <f>"KLASA: 031-06/11-01/0002"</f>
        <v>KLASA: 031-06/11-01/0002</v>
      </c>
      <c r="D159" s="56">
        <v>42534</v>
      </c>
      <c r="E159" s="56">
        <v>43155</v>
      </c>
      <c r="F159" s="8">
        <v>0</v>
      </c>
      <c r="G159" s="46">
        <v>0</v>
      </c>
      <c r="H159" s="126" t="s">
        <v>1103</v>
      </c>
      <c r="I159" s="156" t="s">
        <v>1661</v>
      </c>
      <c r="J159" s="72"/>
      <c r="K159" s="145"/>
      <c r="M159" s="158"/>
      <c r="N159" s="148"/>
      <c r="O159" s="148"/>
      <c r="P159" s="148"/>
      <c r="Q159" s="148"/>
    </row>
    <row r="160" spans="1:17" s="146" customFormat="1" ht="36" x14ac:dyDescent="0.25">
      <c r="A160" s="127">
        <v>153</v>
      </c>
      <c r="B160" s="60" t="s">
        <v>772</v>
      </c>
      <c r="C160" s="10" t="str">
        <f>"DP-02/9/6-012253/16"</f>
        <v>DP-02/9/6-012253/16</v>
      </c>
      <c r="D160" s="56">
        <v>42534</v>
      </c>
      <c r="E160" s="56">
        <v>43155</v>
      </c>
      <c r="F160" s="8">
        <v>1599</v>
      </c>
      <c r="G160" s="46">
        <v>1998.75</v>
      </c>
      <c r="H160" s="126" t="s">
        <v>1100</v>
      </c>
      <c r="I160" s="156" t="s">
        <v>1662</v>
      </c>
      <c r="J160" s="72"/>
      <c r="K160" s="145"/>
      <c r="M160" s="158"/>
      <c r="N160" s="148"/>
      <c r="O160" s="148"/>
      <c r="P160" s="148"/>
      <c r="Q160" s="148"/>
    </row>
    <row r="161" spans="1:17" s="146" customFormat="1" ht="24" x14ac:dyDescent="0.25">
      <c r="A161" s="127">
        <v>154</v>
      </c>
      <c r="B161" s="60" t="s">
        <v>980</v>
      </c>
      <c r="C161" s="10" t="str">
        <f>"DP-02/9/3-1-11838/16"</f>
        <v>DP-02/9/3-1-11838/16</v>
      </c>
      <c r="D161" s="56">
        <v>42530</v>
      </c>
      <c r="E161" s="56">
        <v>43155</v>
      </c>
      <c r="F161" s="8">
        <v>1767.3</v>
      </c>
      <c r="G161" s="46">
        <v>1786.3</v>
      </c>
      <c r="H161" s="126" t="s">
        <v>1100</v>
      </c>
      <c r="I161" s="156" t="s">
        <v>1663</v>
      </c>
      <c r="J161" s="72"/>
      <c r="K161" s="145"/>
      <c r="M161" s="158"/>
      <c r="N161" s="148"/>
      <c r="O161" s="148"/>
      <c r="P161" s="148"/>
      <c r="Q161" s="148"/>
    </row>
    <row r="162" spans="1:17" s="146" customFormat="1" ht="36" x14ac:dyDescent="0.25">
      <c r="A162" s="127">
        <v>155</v>
      </c>
      <c r="B162" s="60" t="s">
        <v>769</v>
      </c>
      <c r="C162" s="10" t="str">
        <f>"DP-02/9/1-011978/16"</f>
        <v>DP-02/9/1-011978/16</v>
      </c>
      <c r="D162" s="56">
        <v>42530</v>
      </c>
      <c r="E162" s="56">
        <v>42790</v>
      </c>
      <c r="F162" s="8">
        <v>6508.94</v>
      </c>
      <c r="G162" s="46">
        <v>6508.94</v>
      </c>
      <c r="H162" s="126" t="s">
        <v>1103</v>
      </c>
      <c r="I162" s="156" t="s">
        <v>1664</v>
      </c>
      <c r="J162" s="72"/>
      <c r="K162" s="145"/>
      <c r="M162" s="158"/>
      <c r="N162" s="148"/>
      <c r="O162" s="148"/>
      <c r="P162" s="148"/>
      <c r="Q162" s="148"/>
    </row>
    <row r="163" spans="1:17" s="146" customFormat="1" ht="24" x14ac:dyDescent="0.25">
      <c r="A163" s="127">
        <v>156</v>
      </c>
      <c r="B163" s="60" t="s">
        <v>603</v>
      </c>
      <c r="C163" s="10" t="str">
        <f>"2125/18-01-16-03"</f>
        <v>2125/18-01-16-03</v>
      </c>
      <c r="D163" s="56">
        <v>42528</v>
      </c>
      <c r="E163" s="56">
        <v>43155</v>
      </c>
      <c r="F163" s="8">
        <v>6737.59</v>
      </c>
      <c r="G163" s="46">
        <v>6817.45</v>
      </c>
      <c r="H163" s="126" t="s">
        <v>1100</v>
      </c>
      <c r="I163" s="156" t="s">
        <v>1665</v>
      </c>
      <c r="J163" s="72"/>
      <c r="K163" s="145"/>
      <c r="M163" s="158"/>
      <c r="N163" s="148"/>
      <c r="O163" s="148"/>
      <c r="P163" s="148"/>
      <c r="Q163" s="148"/>
    </row>
    <row r="164" spans="1:17" s="146" customFormat="1" ht="36" x14ac:dyDescent="0.25">
      <c r="A164" s="127">
        <v>157</v>
      </c>
      <c r="B164" s="60" t="s">
        <v>638</v>
      </c>
      <c r="C164" s="10" t="str">
        <f>"DP-02-6874/16"</f>
        <v>DP-02-6874/16</v>
      </c>
      <c r="D164" s="56">
        <v>42492</v>
      </c>
      <c r="E164" s="56">
        <v>42888</v>
      </c>
      <c r="F164" s="8">
        <v>963946.8</v>
      </c>
      <c r="G164" s="46">
        <v>964270.8</v>
      </c>
      <c r="H164" s="126" t="s">
        <v>1514</v>
      </c>
      <c r="I164" s="156" t="s">
        <v>1666</v>
      </c>
      <c r="J164" s="72"/>
      <c r="K164" s="145"/>
      <c r="M164" s="158"/>
      <c r="N164" s="148"/>
      <c r="O164" s="148"/>
      <c r="P164" s="148"/>
      <c r="Q164" s="148"/>
    </row>
    <row r="165" spans="1:17" s="146" customFormat="1" ht="24" x14ac:dyDescent="0.25">
      <c r="A165" s="127">
        <v>158</v>
      </c>
      <c r="B165" s="60" t="s">
        <v>981</v>
      </c>
      <c r="C165" s="10" t="str">
        <f>"HP-CDZ"</f>
        <v>HP-CDZ</v>
      </c>
      <c r="D165" s="56">
        <v>42522</v>
      </c>
      <c r="E165" s="56">
        <v>43155</v>
      </c>
      <c r="F165" s="8">
        <v>10519.2</v>
      </c>
      <c r="G165" s="154"/>
      <c r="H165" s="164"/>
      <c r="I165" s="171" t="s">
        <v>1101</v>
      </c>
      <c r="J165" s="72"/>
      <c r="K165" s="145"/>
      <c r="M165" s="158"/>
      <c r="N165" s="148"/>
      <c r="O165" s="148"/>
      <c r="P165" s="148"/>
      <c r="Q165" s="148"/>
    </row>
    <row r="166" spans="1:17" s="146" customFormat="1" x14ac:dyDescent="0.25">
      <c r="A166" s="127">
        <v>159</v>
      </c>
      <c r="B166" s="60" t="s">
        <v>529</v>
      </c>
      <c r="C166" s="10" t="str">
        <f>"SU-1417/2015"</f>
        <v>SU-1417/2015</v>
      </c>
      <c r="D166" s="56">
        <v>42522</v>
      </c>
      <c r="E166" s="56">
        <v>43155</v>
      </c>
      <c r="F166" s="8">
        <v>2465489.39</v>
      </c>
      <c r="G166" s="46">
        <v>3081861.74</v>
      </c>
      <c r="H166" s="126" t="s">
        <v>1100</v>
      </c>
      <c r="I166" s="156" t="s">
        <v>1667</v>
      </c>
      <c r="J166" s="72"/>
      <c r="K166" s="145"/>
      <c r="M166" s="158"/>
      <c r="N166" s="148"/>
      <c r="O166" s="148"/>
      <c r="P166" s="148"/>
      <c r="Q166" s="148"/>
    </row>
    <row r="167" spans="1:17" s="146" customFormat="1" x14ac:dyDescent="0.25">
      <c r="A167" s="127">
        <v>160</v>
      </c>
      <c r="B167" s="60" t="s">
        <v>894</v>
      </c>
      <c r="C167" s="10" t="str">
        <f>" HP-ZUZ"</f>
        <v xml:space="preserve"> HP-ZUZ</v>
      </c>
      <c r="D167" s="56">
        <v>42522</v>
      </c>
      <c r="E167" s="56">
        <v>43155</v>
      </c>
      <c r="F167" s="8">
        <v>64809.5</v>
      </c>
      <c r="G167" s="154"/>
      <c r="H167" s="126" t="s">
        <v>1100</v>
      </c>
      <c r="I167" s="156" t="s">
        <v>1668</v>
      </c>
      <c r="J167" s="72"/>
      <c r="K167" s="145"/>
      <c r="M167" s="158"/>
      <c r="N167" s="148"/>
      <c r="O167" s="148"/>
      <c r="P167" s="148"/>
      <c r="Q167" s="148"/>
    </row>
    <row r="168" spans="1:17" s="146" customFormat="1" ht="24" x14ac:dyDescent="0.25">
      <c r="A168" s="127">
        <v>161</v>
      </c>
      <c r="B168" s="60" t="s">
        <v>531</v>
      </c>
      <c r="C168" s="10" t="str">
        <f>"406-01/16-01/08"</f>
        <v>406-01/16-01/08</v>
      </c>
      <c r="D168" s="56">
        <v>42515</v>
      </c>
      <c r="E168" s="56">
        <v>43155</v>
      </c>
      <c r="F168" s="8">
        <v>88535.3</v>
      </c>
      <c r="G168" s="46">
        <v>93189.28</v>
      </c>
      <c r="H168" s="126" t="s">
        <v>1100</v>
      </c>
      <c r="I168" s="156" t="s">
        <v>1669</v>
      </c>
      <c r="J168" s="72"/>
      <c r="K168" s="145"/>
      <c r="M168" s="158"/>
      <c r="N168" s="148"/>
      <c r="O168" s="148"/>
      <c r="P168" s="148"/>
      <c r="Q168" s="148"/>
    </row>
    <row r="169" spans="1:17" s="146" customFormat="1" ht="24" x14ac:dyDescent="0.25">
      <c r="A169" s="127">
        <v>162</v>
      </c>
      <c r="B169" s="60" t="s">
        <v>777</v>
      </c>
      <c r="C169" s="10" t="str">
        <f>"DP-02/9/4-009609/16"</f>
        <v>DP-02/9/4-009609/16</v>
      </c>
      <c r="D169" s="56">
        <v>42488</v>
      </c>
      <c r="E169" s="56">
        <v>43251</v>
      </c>
      <c r="F169" s="8">
        <v>0</v>
      </c>
      <c r="G169" s="46">
        <v>0</v>
      </c>
      <c r="H169" s="126" t="s">
        <v>1100</v>
      </c>
      <c r="I169" s="156" t="s">
        <v>1670</v>
      </c>
      <c r="J169" s="72"/>
      <c r="K169" s="145"/>
      <c r="M169" s="158"/>
      <c r="N169" s="148"/>
      <c r="O169" s="148"/>
      <c r="P169" s="148"/>
      <c r="Q169" s="148"/>
    </row>
    <row r="170" spans="1:17" s="146" customFormat="1" ht="24" x14ac:dyDescent="0.25">
      <c r="A170" s="127">
        <v>163</v>
      </c>
      <c r="B170" s="60" t="s">
        <v>791</v>
      </c>
      <c r="C170" s="10" t="str">
        <f>"DP-02/3-9152/16"</f>
        <v>DP-02/3-9152/16</v>
      </c>
      <c r="D170" s="56">
        <v>42487</v>
      </c>
      <c r="E170" s="56">
        <v>43155</v>
      </c>
      <c r="F170" s="8">
        <v>21617.8</v>
      </c>
      <c r="G170" s="46">
        <v>21720</v>
      </c>
      <c r="H170" s="126" t="s">
        <v>1100</v>
      </c>
      <c r="I170" s="156" t="s">
        <v>1671</v>
      </c>
      <c r="J170" s="72"/>
      <c r="K170" s="145"/>
      <c r="M170" s="158"/>
      <c r="N170" s="148"/>
      <c r="O170" s="148"/>
      <c r="P170" s="148"/>
      <c r="Q170" s="148"/>
    </row>
    <row r="171" spans="1:17" s="146" customFormat="1" ht="36" x14ac:dyDescent="0.25">
      <c r="A171" s="127">
        <v>164</v>
      </c>
      <c r="B171" s="60" t="s">
        <v>726</v>
      </c>
      <c r="C171" s="10" t="str">
        <f>"DP-02/9/5-11441/16"</f>
        <v>DP-02/9/5-11441/16</v>
      </c>
      <c r="D171" s="56">
        <v>42520</v>
      </c>
      <c r="E171" s="56">
        <v>43155</v>
      </c>
      <c r="F171" s="8">
        <v>0</v>
      </c>
      <c r="G171" s="46">
        <v>0</v>
      </c>
      <c r="H171" s="126" t="s">
        <v>1100</v>
      </c>
      <c r="I171" s="156" t="s">
        <v>1672</v>
      </c>
      <c r="J171" s="72"/>
      <c r="K171" s="145"/>
      <c r="M171" s="158"/>
      <c r="N171" s="148"/>
      <c r="O171" s="148"/>
      <c r="P171" s="148"/>
      <c r="Q171" s="148"/>
    </row>
    <row r="172" spans="1:17" s="146" customFormat="1" ht="24" x14ac:dyDescent="0.25">
      <c r="A172" s="127">
        <v>165</v>
      </c>
      <c r="B172" s="60" t="s">
        <v>717</v>
      </c>
      <c r="C172" s="10" t="str">
        <f>"DP-02/9/2-9677/16"</f>
        <v>DP-02/9/2-9677/16</v>
      </c>
      <c r="D172" s="56">
        <v>42522</v>
      </c>
      <c r="E172" s="56">
        <v>43155</v>
      </c>
      <c r="F172" s="8">
        <v>2292368</v>
      </c>
      <c r="G172" s="46">
        <v>2293342</v>
      </c>
      <c r="H172" s="126" t="s">
        <v>1100</v>
      </c>
      <c r="I172" s="156" t="s">
        <v>1673</v>
      </c>
      <c r="J172" s="72"/>
      <c r="K172" s="145"/>
      <c r="M172" s="158"/>
      <c r="N172" s="148"/>
      <c r="O172" s="148"/>
      <c r="P172" s="148"/>
      <c r="Q172" s="148"/>
    </row>
    <row r="173" spans="1:17" s="146" customFormat="1" x14ac:dyDescent="0.25">
      <c r="A173" s="127">
        <v>166</v>
      </c>
      <c r="B173" s="60" t="s">
        <v>278</v>
      </c>
      <c r="C173" s="10" t="str">
        <f>"58/2016"</f>
        <v>58/2016</v>
      </c>
      <c r="D173" s="56">
        <v>42522</v>
      </c>
      <c r="E173" s="56">
        <v>43155</v>
      </c>
      <c r="F173" s="8">
        <v>5587623.0199999996</v>
      </c>
      <c r="G173" s="46">
        <v>5602397.8499999996</v>
      </c>
      <c r="H173" s="126" t="s">
        <v>1100</v>
      </c>
      <c r="I173" s="156" t="s">
        <v>1674</v>
      </c>
      <c r="J173" s="72"/>
      <c r="K173" s="145"/>
      <c r="M173" s="158"/>
      <c r="N173" s="148"/>
      <c r="O173" s="148"/>
      <c r="P173" s="148"/>
      <c r="Q173" s="148"/>
    </row>
    <row r="174" spans="1:17" s="146" customFormat="1" ht="24" x14ac:dyDescent="0.25">
      <c r="A174" s="127">
        <v>167</v>
      </c>
      <c r="B174" s="60" t="s">
        <v>888</v>
      </c>
      <c r="C174" s="10" t="str">
        <f>"568/16"</f>
        <v>568/16</v>
      </c>
      <c r="D174" s="56">
        <v>42500</v>
      </c>
      <c r="E174" s="56">
        <v>43155</v>
      </c>
      <c r="F174" s="8">
        <v>25971.7</v>
      </c>
      <c r="G174" s="46">
        <v>32464.63</v>
      </c>
      <c r="H174" s="126" t="s">
        <v>1100</v>
      </c>
      <c r="I174" s="156" t="s">
        <v>1675</v>
      </c>
      <c r="J174" s="72"/>
      <c r="K174" s="145"/>
      <c r="M174" s="158"/>
      <c r="N174" s="148"/>
      <c r="O174" s="148"/>
      <c r="P174" s="148"/>
      <c r="Q174" s="148"/>
    </row>
    <row r="175" spans="1:17" s="146" customFormat="1" x14ac:dyDescent="0.25">
      <c r="A175" s="127">
        <v>168</v>
      </c>
      <c r="B175" s="60" t="s">
        <v>982</v>
      </c>
      <c r="C175" s="10" t="str">
        <f>"HP-15/2015"</f>
        <v>HP-15/2015</v>
      </c>
      <c r="D175" s="56">
        <v>42522</v>
      </c>
      <c r="E175" s="56">
        <v>43155</v>
      </c>
      <c r="F175" s="8">
        <v>6000</v>
      </c>
      <c r="G175" s="46">
        <v>7500</v>
      </c>
      <c r="H175" s="164"/>
      <c r="I175" s="171" t="s">
        <v>1101</v>
      </c>
      <c r="J175" s="72"/>
      <c r="K175" s="145"/>
      <c r="M175" s="158"/>
      <c r="N175" s="148"/>
      <c r="O175" s="148"/>
      <c r="P175" s="148"/>
      <c r="Q175" s="148"/>
    </row>
    <row r="176" spans="1:17" s="146" customFormat="1" ht="36" x14ac:dyDescent="0.25">
      <c r="A176" s="127">
        <v>169</v>
      </c>
      <c r="B176" s="60" t="s">
        <v>806</v>
      </c>
      <c r="C176" s="10" t="str">
        <f>"DP-02/9/1-010951/16"</f>
        <v>DP-02/9/1-010951/16</v>
      </c>
      <c r="D176" s="56">
        <v>42517</v>
      </c>
      <c r="E176" s="56">
        <v>43155</v>
      </c>
      <c r="F176" s="8">
        <v>18142.259999999998</v>
      </c>
      <c r="G176" s="46">
        <v>22677.83</v>
      </c>
      <c r="H176" s="126" t="s">
        <v>1100</v>
      </c>
      <c r="I176" s="156" t="s">
        <v>1676</v>
      </c>
      <c r="J176" s="72"/>
      <c r="K176" s="145"/>
      <c r="M176" s="158"/>
      <c r="N176" s="148"/>
      <c r="O176" s="148"/>
      <c r="P176" s="148"/>
      <c r="Q176" s="148"/>
    </row>
    <row r="177" spans="1:17" s="146" customFormat="1" x14ac:dyDescent="0.25">
      <c r="A177" s="127">
        <v>170</v>
      </c>
      <c r="B177" s="60" t="s">
        <v>902</v>
      </c>
      <c r="C177" s="10" t="str">
        <f>"HP STIN"</f>
        <v>HP STIN</v>
      </c>
      <c r="D177" s="56">
        <v>42515</v>
      </c>
      <c r="E177" s="56">
        <v>43155</v>
      </c>
      <c r="F177" s="8">
        <v>25124.240000000002</v>
      </c>
      <c r="G177" s="46">
        <v>31405.3</v>
      </c>
      <c r="H177" s="126" t="s">
        <v>1102</v>
      </c>
      <c r="I177" s="156" t="s">
        <v>1677</v>
      </c>
      <c r="J177" s="72"/>
      <c r="K177" s="145"/>
      <c r="M177" s="158"/>
      <c r="N177" s="148"/>
      <c r="O177" s="148"/>
      <c r="P177" s="148"/>
      <c r="Q177" s="148"/>
    </row>
    <row r="178" spans="1:17" s="146" customFormat="1" ht="24" x14ac:dyDescent="0.25">
      <c r="A178" s="127">
        <v>171</v>
      </c>
      <c r="B178" s="60" t="s">
        <v>921</v>
      </c>
      <c r="C178" s="10" t="str">
        <f>"DP-02/9/1-010753/16"</f>
        <v>DP-02/9/1-010753/16</v>
      </c>
      <c r="D178" s="56">
        <v>42513</v>
      </c>
      <c r="E178" s="56">
        <v>42790</v>
      </c>
      <c r="F178" s="8">
        <v>38539</v>
      </c>
      <c r="G178" s="46">
        <v>41799</v>
      </c>
      <c r="H178" s="126" t="s">
        <v>1511</v>
      </c>
      <c r="I178" s="156" t="s">
        <v>1678</v>
      </c>
      <c r="J178" s="72"/>
      <c r="K178" s="145"/>
      <c r="M178" s="158"/>
      <c r="N178" s="148"/>
      <c r="O178" s="148"/>
      <c r="P178" s="148"/>
      <c r="Q178" s="148"/>
    </row>
    <row r="179" spans="1:17" s="146" customFormat="1" ht="24" x14ac:dyDescent="0.25">
      <c r="A179" s="127">
        <v>172</v>
      </c>
      <c r="B179" s="60" t="s">
        <v>578</v>
      </c>
      <c r="C179" s="10" t="str">
        <f>"DP-02/9/6-010289/16-1"</f>
        <v>DP-02/9/6-010289/16-1</v>
      </c>
      <c r="D179" s="56">
        <v>42513</v>
      </c>
      <c r="E179" s="56">
        <v>43155</v>
      </c>
      <c r="F179" s="8">
        <v>59524.26</v>
      </c>
      <c r="G179" s="46">
        <v>59529.16</v>
      </c>
      <c r="H179" s="126" t="s">
        <v>1100</v>
      </c>
      <c r="I179" s="156" t="s">
        <v>1679</v>
      </c>
      <c r="J179" s="72"/>
      <c r="K179" s="145"/>
      <c r="M179" s="158"/>
      <c r="N179" s="148"/>
      <c r="O179" s="148"/>
      <c r="P179" s="148"/>
      <c r="Q179" s="148"/>
    </row>
    <row r="180" spans="1:17" s="146" customFormat="1" ht="24" x14ac:dyDescent="0.25">
      <c r="A180" s="127">
        <v>173</v>
      </c>
      <c r="B180" s="60" t="s">
        <v>983</v>
      </c>
      <c r="C180" s="10" t="str">
        <f>"17 SU-77/2016"</f>
        <v>17 SU-77/2016</v>
      </c>
      <c r="D180" s="56">
        <v>42513</v>
      </c>
      <c r="E180" s="56">
        <v>43155</v>
      </c>
      <c r="F180" s="8">
        <v>507734.7</v>
      </c>
      <c r="G180" s="46">
        <v>507734.7</v>
      </c>
      <c r="H180" s="126" t="s">
        <v>1100</v>
      </c>
      <c r="I180" s="156" t="s">
        <v>1680</v>
      </c>
      <c r="J180" s="72"/>
      <c r="K180" s="145"/>
      <c r="M180" s="158"/>
      <c r="N180" s="148"/>
      <c r="O180" s="148"/>
      <c r="P180" s="148"/>
      <c r="Q180" s="148"/>
    </row>
    <row r="181" spans="1:17" s="146" customFormat="1" ht="24" x14ac:dyDescent="0.25">
      <c r="A181" s="127">
        <v>174</v>
      </c>
      <c r="B181" s="60" t="s">
        <v>623</v>
      </c>
      <c r="C181" s="10" t="str">
        <f>"158-200-100/16"</f>
        <v>158-200-100/16</v>
      </c>
      <c r="D181" s="56">
        <v>42509</v>
      </c>
      <c r="E181" s="56">
        <v>43155</v>
      </c>
      <c r="F181" s="8">
        <v>30837.8</v>
      </c>
      <c r="G181" s="46">
        <v>38547.25</v>
      </c>
      <c r="H181" s="126" t="s">
        <v>1102</v>
      </c>
      <c r="I181" s="156" t="s">
        <v>1681</v>
      </c>
      <c r="J181" s="72"/>
      <c r="K181" s="145"/>
      <c r="M181" s="158"/>
      <c r="N181" s="148"/>
      <c r="O181" s="148"/>
      <c r="P181" s="148"/>
      <c r="Q181" s="148"/>
    </row>
    <row r="182" spans="1:17" s="146" customFormat="1" ht="24" x14ac:dyDescent="0.25">
      <c r="A182" s="127">
        <v>175</v>
      </c>
      <c r="B182" s="60" t="s">
        <v>209</v>
      </c>
      <c r="C182" s="10" t="str">
        <f>"920-07/16-13/12"</f>
        <v>920-07/16-13/12</v>
      </c>
      <c r="D182" s="56">
        <v>42509</v>
      </c>
      <c r="E182" s="56">
        <v>43155</v>
      </c>
      <c r="F182" s="8">
        <v>179785.4</v>
      </c>
      <c r="G182" s="46">
        <v>180294.1</v>
      </c>
      <c r="H182" s="126" t="s">
        <v>1100</v>
      </c>
      <c r="I182" s="156" t="s">
        <v>1682</v>
      </c>
      <c r="J182" s="72"/>
      <c r="K182" s="145"/>
      <c r="M182" s="158"/>
      <c r="N182" s="148"/>
      <c r="O182" s="148"/>
      <c r="P182" s="148"/>
      <c r="Q182" s="148"/>
    </row>
    <row r="183" spans="1:17" s="146" customFormat="1" ht="24" x14ac:dyDescent="0.25">
      <c r="A183" s="127">
        <v>176</v>
      </c>
      <c r="B183" s="60" t="s">
        <v>475</v>
      </c>
      <c r="C183" s="10" t="str">
        <f>"2181-234-01-16-0001"</f>
        <v>2181-234-01-16-0001</v>
      </c>
      <c r="D183" s="56">
        <v>42509</v>
      </c>
      <c r="E183" s="56">
        <v>43155</v>
      </c>
      <c r="F183" s="8">
        <v>19857.68</v>
      </c>
      <c r="G183" s="46">
        <v>19992.75</v>
      </c>
      <c r="H183" s="126" t="s">
        <v>1100</v>
      </c>
      <c r="I183" s="156" t="s">
        <v>1683</v>
      </c>
      <c r="J183" s="72"/>
      <c r="K183" s="145"/>
      <c r="M183" s="158"/>
      <c r="N183" s="148"/>
      <c r="O183" s="148"/>
      <c r="P183" s="148"/>
      <c r="Q183" s="148"/>
    </row>
    <row r="184" spans="1:17" s="146" customFormat="1" ht="24" x14ac:dyDescent="0.25">
      <c r="A184" s="127">
        <v>177</v>
      </c>
      <c r="B184" s="60" t="s">
        <v>770</v>
      </c>
      <c r="C184" s="10" t="str">
        <f>"I-86/16"</f>
        <v>I-86/16</v>
      </c>
      <c r="D184" s="56">
        <v>42508</v>
      </c>
      <c r="E184" s="56">
        <v>43155</v>
      </c>
      <c r="F184" s="8">
        <v>157634.34</v>
      </c>
      <c r="G184" s="46">
        <v>159013.84</v>
      </c>
      <c r="H184" s="126" t="s">
        <v>1102</v>
      </c>
      <c r="I184" s="156" t="s">
        <v>1684</v>
      </c>
      <c r="J184" s="72"/>
      <c r="K184" s="145"/>
      <c r="M184" s="158"/>
      <c r="N184" s="148"/>
      <c r="O184" s="148"/>
      <c r="P184" s="148"/>
      <c r="Q184" s="148"/>
    </row>
    <row r="185" spans="1:17" s="146" customFormat="1" ht="36" x14ac:dyDescent="0.25">
      <c r="A185" s="127">
        <v>178</v>
      </c>
      <c r="B185" s="60" t="s">
        <v>795</v>
      </c>
      <c r="C185" s="10" t="str">
        <f>"030-01-/16-04/6-11"</f>
        <v>030-01-/16-04/6-11</v>
      </c>
      <c r="D185" s="56">
        <v>42452</v>
      </c>
      <c r="E185" s="56">
        <v>43173</v>
      </c>
      <c r="F185" s="8">
        <v>0</v>
      </c>
      <c r="G185" s="46">
        <v>0</v>
      </c>
      <c r="H185" s="126" t="s">
        <v>1100</v>
      </c>
      <c r="I185" s="156" t="s">
        <v>1685</v>
      </c>
      <c r="J185" s="72"/>
      <c r="K185" s="145"/>
      <c r="M185" s="158"/>
      <c r="N185" s="148"/>
      <c r="O185" s="148"/>
      <c r="P185" s="148"/>
      <c r="Q185" s="148"/>
    </row>
    <row r="186" spans="1:17" s="146" customFormat="1" ht="24" x14ac:dyDescent="0.25">
      <c r="A186" s="127">
        <v>179</v>
      </c>
      <c r="B186" s="60" t="s">
        <v>878</v>
      </c>
      <c r="C186" s="10" t="str">
        <f>"030-08/16-01/11"</f>
        <v>030-08/16-01/11</v>
      </c>
      <c r="D186" s="56">
        <v>42506</v>
      </c>
      <c r="E186" s="56">
        <v>43155</v>
      </c>
      <c r="F186" s="8">
        <v>49357.32</v>
      </c>
      <c r="G186" s="46">
        <v>49426.3</v>
      </c>
      <c r="H186" s="126" t="s">
        <v>1100</v>
      </c>
      <c r="I186" s="156" t="s">
        <v>1686</v>
      </c>
      <c r="J186" s="72"/>
      <c r="K186" s="145"/>
      <c r="M186" s="158"/>
      <c r="N186" s="148"/>
      <c r="O186" s="148"/>
      <c r="P186" s="148"/>
      <c r="Q186" s="148"/>
    </row>
    <row r="187" spans="1:17" s="146" customFormat="1" ht="24" x14ac:dyDescent="0.25">
      <c r="A187" s="127">
        <v>180</v>
      </c>
      <c r="B187" s="60" t="s">
        <v>517</v>
      </c>
      <c r="C187" s="10" t="str">
        <f>"DP-02/9/1-010245/16"</f>
        <v>DP-02/9/1-010245/16</v>
      </c>
      <c r="D187" s="56">
        <v>42506</v>
      </c>
      <c r="E187" s="56">
        <v>43155</v>
      </c>
      <c r="F187" s="8">
        <v>4202</v>
      </c>
      <c r="G187" s="46">
        <v>4202</v>
      </c>
      <c r="H187" s="126" t="s">
        <v>1100</v>
      </c>
      <c r="I187" s="156" t="s">
        <v>1687</v>
      </c>
      <c r="J187" s="72"/>
      <c r="K187" s="145"/>
      <c r="M187" s="158"/>
      <c r="N187" s="148"/>
      <c r="O187" s="148"/>
      <c r="P187" s="148"/>
      <c r="Q187" s="148"/>
    </row>
    <row r="188" spans="1:17" s="146" customFormat="1" ht="24" x14ac:dyDescent="0.25">
      <c r="A188" s="127">
        <v>181</v>
      </c>
      <c r="B188" s="60" t="s">
        <v>504</v>
      </c>
      <c r="C188" s="10" t="str">
        <f>"DP-02/9/1-009593/16"</f>
        <v>DP-02/9/1-009593/16</v>
      </c>
      <c r="D188" s="56">
        <v>42506</v>
      </c>
      <c r="E188" s="56">
        <v>43155</v>
      </c>
      <c r="F188" s="8">
        <v>82893.600000000006</v>
      </c>
      <c r="G188" s="46">
        <v>82995.8</v>
      </c>
      <c r="H188" s="126" t="s">
        <v>1100</v>
      </c>
      <c r="I188" s="156" t="s">
        <v>1688</v>
      </c>
      <c r="J188" s="72"/>
      <c r="K188" s="145"/>
      <c r="M188" s="158"/>
      <c r="N188" s="148"/>
      <c r="O188" s="148"/>
      <c r="P188" s="148"/>
      <c r="Q188" s="148"/>
    </row>
    <row r="189" spans="1:17" s="146" customFormat="1" ht="24" x14ac:dyDescent="0.25">
      <c r="A189" s="127">
        <v>182</v>
      </c>
      <c r="B189" s="60" t="s">
        <v>482</v>
      </c>
      <c r="C189" s="10" t="str">
        <f>"DP-02/9/1-006785/16"</f>
        <v>DP-02/9/1-006785/16</v>
      </c>
      <c r="D189" s="56">
        <v>42506</v>
      </c>
      <c r="E189" s="56">
        <v>43155</v>
      </c>
      <c r="F189" s="8">
        <v>8464438</v>
      </c>
      <c r="G189" s="46">
        <v>10580547.5</v>
      </c>
      <c r="H189" s="126" t="s">
        <v>1100</v>
      </c>
      <c r="I189" s="156" t="s">
        <v>1689</v>
      </c>
      <c r="J189" s="72"/>
      <c r="K189" s="145"/>
      <c r="M189" s="158"/>
      <c r="N189" s="148"/>
      <c r="O189" s="148"/>
      <c r="P189" s="148"/>
      <c r="Q189" s="148"/>
    </row>
    <row r="190" spans="1:17" s="146" customFormat="1" ht="24" x14ac:dyDescent="0.25">
      <c r="A190" s="127">
        <v>183</v>
      </c>
      <c r="B190" s="60" t="s">
        <v>580</v>
      </c>
      <c r="C190" s="10" t="str">
        <f>"DP-02/9/5-7701/16"</f>
        <v>DP-02/9/5-7701/16</v>
      </c>
      <c r="D190" s="56">
        <v>42565</v>
      </c>
      <c r="E190" s="56">
        <v>43155</v>
      </c>
      <c r="F190" s="8">
        <v>13075.6</v>
      </c>
      <c r="G190" s="46">
        <v>16344.5</v>
      </c>
      <c r="H190" s="126" t="s">
        <v>1477</v>
      </c>
      <c r="I190" s="156" t="s">
        <v>1690</v>
      </c>
      <c r="J190" s="72"/>
      <c r="K190" s="145"/>
      <c r="M190" s="158"/>
      <c r="N190" s="148"/>
      <c r="O190" s="148"/>
      <c r="P190" s="148"/>
      <c r="Q190" s="148"/>
    </row>
    <row r="191" spans="1:17" s="146" customFormat="1" ht="24" x14ac:dyDescent="0.25">
      <c r="A191" s="127">
        <v>184</v>
      </c>
      <c r="B191" s="60" t="s">
        <v>513</v>
      </c>
      <c r="C191" s="10" t="str">
        <f>"406-07/16-01/13"</f>
        <v>406-07/16-01/13</v>
      </c>
      <c r="D191" s="56">
        <v>42506</v>
      </c>
      <c r="E191" s="56">
        <v>43155</v>
      </c>
      <c r="F191" s="8">
        <v>73316.600000000006</v>
      </c>
      <c r="G191" s="46">
        <v>75624</v>
      </c>
      <c r="H191" s="126" t="s">
        <v>1100</v>
      </c>
      <c r="I191" s="156" t="s">
        <v>1691</v>
      </c>
      <c r="J191" s="72"/>
      <c r="K191" s="145"/>
      <c r="M191" s="158"/>
      <c r="N191" s="148"/>
      <c r="O191" s="148"/>
      <c r="P191" s="148"/>
      <c r="Q191" s="148"/>
    </row>
    <row r="192" spans="1:17" s="146" customFormat="1" ht="24" x14ac:dyDescent="0.25">
      <c r="A192" s="127">
        <v>185</v>
      </c>
      <c r="B192" s="60" t="s">
        <v>728</v>
      </c>
      <c r="C192" s="10" t="str">
        <f>"41 SU-568/2016"</f>
        <v>41 SU-568/2016</v>
      </c>
      <c r="D192" s="56">
        <v>42506</v>
      </c>
      <c r="E192" s="56">
        <v>43155</v>
      </c>
      <c r="F192" s="8">
        <v>1653757.15</v>
      </c>
      <c r="G192" s="46">
        <v>2067196.44</v>
      </c>
      <c r="H192" s="126" t="s">
        <v>1100</v>
      </c>
      <c r="I192" s="156" t="s">
        <v>1692</v>
      </c>
      <c r="J192" s="72"/>
      <c r="K192" s="145"/>
      <c r="M192" s="158"/>
      <c r="N192" s="148"/>
      <c r="O192" s="148"/>
      <c r="P192" s="148"/>
      <c r="Q192" s="148"/>
    </row>
    <row r="193" spans="1:17" s="146" customFormat="1" ht="24" x14ac:dyDescent="0.25">
      <c r="A193" s="127">
        <v>186</v>
      </c>
      <c r="B193" s="60" t="s">
        <v>955</v>
      </c>
      <c r="C193" s="10" t="str">
        <f>"DP-02/9/2-9679/16"</f>
        <v>DP-02/9/2-9679/16</v>
      </c>
      <c r="D193" s="56">
        <v>42503</v>
      </c>
      <c r="E193" s="56">
        <v>43155</v>
      </c>
      <c r="F193" s="8">
        <v>668403.52</v>
      </c>
      <c r="G193" s="46">
        <v>668465.38</v>
      </c>
      <c r="H193" s="126" t="s">
        <v>1100</v>
      </c>
      <c r="I193" s="156" t="s">
        <v>1693</v>
      </c>
      <c r="J193" s="72"/>
      <c r="K193" s="145"/>
      <c r="M193" s="158"/>
      <c r="N193" s="148"/>
      <c r="O193" s="148"/>
      <c r="P193" s="148"/>
      <c r="Q193" s="148"/>
    </row>
    <row r="194" spans="1:17" s="146" customFormat="1" ht="24" x14ac:dyDescent="0.25">
      <c r="A194" s="127">
        <v>187</v>
      </c>
      <c r="B194" s="60" t="s">
        <v>194</v>
      </c>
      <c r="C194" s="10" t="str">
        <f>"24/16"</f>
        <v>24/16</v>
      </c>
      <c r="D194" s="56">
        <v>42503</v>
      </c>
      <c r="E194" s="56">
        <v>43154</v>
      </c>
      <c r="F194" s="8">
        <v>276982.03000000003</v>
      </c>
      <c r="G194" s="46">
        <v>277667.09999999998</v>
      </c>
      <c r="H194" s="126" t="s">
        <v>1100</v>
      </c>
      <c r="I194" s="156" t="s">
        <v>1694</v>
      </c>
      <c r="J194" s="72"/>
      <c r="K194" s="145"/>
      <c r="M194" s="158"/>
      <c r="N194" s="148"/>
      <c r="O194" s="148"/>
      <c r="P194" s="148"/>
      <c r="Q194" s="148"/>
    </row>
    <row r="195" spans="1:17" s="146" customFormat="1" ht="24" x14ac:dyDescent="0.25">
      <c r="A195" s="127">
        <v>188</v>
      </c>
      <c r="B195" s="60" t="s">
        <v>505</v>
      </c>
      <c r="C195" s="10" t="str">
        <f>"NPPJ 15/2015"</f>
        <v>NPPJ 15/2015</v>
      </c>
      <c r="D195" s="56">
        <v>42502</v>
      </c>
      <c r="E195" s="56">
        <v>43155</v>
      </c>
      <c r="F195" s="8">
        <v>235341.61</v>
      </c>
      <c r="G195" s="46">
        <v>235629.4</v>
      </c>
      <c r="H195" s="126" t="s">
        <v>1100</v>
      </c>
      <c r="I195" s="156" t="s">
        <v>1695</v>
      </c>
      <c r="J195" s="72"/>
      <c r="K195" s="145"/>
      <c r="M195" s="158"/>
      <c r="N195" s="148"/>
      <c r="O195" s="148"/>
      <c r="P195" s="148"/>
      <c r="Q195" s="148"/>
    </row>
    <row r="196" spans="1:17" s="146" customFormat="1" ht="24" x14ac:dyDescent="0.25">
      <c r="A196" s="127">
        <v>189</v>
      </c>
      <c r="B196" s="60" t="s">
        <v>687</v>
      </c>
      <c r="C196" s="10" t="str">
        <f>"DP-02/9/1-008679/16"</f>
        <v>DP-02/9/1-008679/16</v>
      </c>
      <c r="D196" s="56">
        <v>42501</v>
      </c>
      <c r="E196" s="56">
        <v>43155</v>
      </c>
      <c r="F196" s="8">
        <v>3333638.62</v>
      </c>
      <c r="G196" s="46">
        <v>3333887.82</v>
      </c>
      <c r="H196" s="126" t="s">
        <v>1100</v>
      </c>
      <c r="I196" s="156" t="s">
        <v>1696</v>
      </c>
      <c r="J196" s="72"/>
      <c r="K196" s="145"/>
      <c r="M196" s="158"/>
      <c r="N196" s="148"/>
      <c r="O196" s="148"/>
      <c r="P196" s="148"/>
      <c r="Q196" s="148"/>
    </row>
    <row r="197" spans="1:17" s="146" customFormat="1" ht="24" x14ac:dyDescent="0.25">
      <c r="A197" s="127">
        <v>190</v>
      </c>
      <c r="B197" s="60" t="s">
        <v>18</v>
      </c>
      <c r="C197" s="10" t="str">
        <f>"SNUG-204-16-011"</f>
        <v>SNUG-204-16-011</v>
      </c>
      <c r="D197" s="56">
        <v>42501</v>
      </c>
      <c r="E197" s="56">
        <v>43155</v>
      </c>
      <c r="F197" s="8">
        <v>2440000</v>
      </c>
      <c r="G197" s="46">
        <v>3050000</v>
      </c>
      <c r="H197" s="126" t="s">
        <v>1100</v>
      </c>
      <c r="I197" s="156" t="s">
        <v>1697</v>
      </c>
      <c r="J197" s="72"/>
      <c r="K197" s="145"/>
      <c r="M197" s="158"/>
      <c r="N197" s="148"/>
      <c r="O197" s="148"/>
      <c r="P197" s="148"/>
      <c r="Q197" s="148"/>
    </row>
    <row r="198" spans="1:17" s="146" customFormat="1" ht="24" x14ac:dyDescent="0.25">
      <c r="A198" s="127">
        <v>191</v>
      </c>
      <c r="B198" s="60" t="s">
        <v>864</v>
      </c>
      <c r="C198" s="10" t="str">
        <f>"11008-R16-00443"</f>
        <v>11008-R16-00443</v>
      </c>
      <c r="D198" s="56">
        <v>42501</v>
      </c>
      <c r="E198" s="56">
        <v>43155</v>
      </c>
      <c r="F198" s="8">
        <v>2690</v>
      </c>
      <c r="G198" s="46">
        <v>2690</v>
      </c>
      <c r="H198" s="126" t="s">
        <v>1100</v>
      </c>
      <c r="I198" s="156" t="s">
        <v>1698</v>
      </c>
      <c r="J198" s="72"/>
      <c r="K198" s="145"/>
      <c r="M198" s="158"/>
      <c r="N198" s="148"/>
      <c r="O198" s="148"/>
      <c r="P198" s="148"/>
      <c r="Q198" s="148"/>
    </row>
    <row r="199" spans="1:17" s="146" customFormat="1" ht="36" x14ac:dyDescent="0.25">
      <c r="A199" s="127">
        <v>192</v>
      </c>
      <c r="B199" s="60" t="s">
        <v>566</v>
      </c>
      <c r="C199" s="10" t="str">
        <f>"406-01/16-06/03"</f>
        <v>406-01/16-06/03</v>
      </c>
      <c r="D199" s="56">
        <v>42500</v>
      </c>
      <c r="E199" s="56">
        <v>42790</v>
      </c>
      <c r="F199" s="8">
        <v>51092.95</v>
      </c>
      <c r="G199" s="46">
        <v>52416.95</v>
      </c>
      <c r="H199" s="126" t="s">
        <v>1493</v>
      </c>
      <c r="I199" s="156" t="s">
        <v>1699</v>
      </c>
      <c r="J199" s="72"/>
      <c r="K199" s="145"/>
      <c r="M199" s="158"/>
      <c r="N199" s="148"/>
      <c r="O199" s="148"/>
      <c r="P199" s="148"/>
      <c r="Q199" s="148"/>
    </row>
    <row r="200" spans="1:17" s="146" customFormat="1" ht="24" x14ac:dyDescent="0.25">
      <c r="A200" s="127">
        <v>193</v>
      </c>
      <c r="B200" s="60" t="s">
        <v>664</v>
      </c>
      <c r="C200" s="10" t="str">
        <f>"KLASA: 406-06/16-01/06"</f>
        <v>KLASA: 406-06/16-01/06</v>
      </c>
      <c r="D200" s="56">
        <v>42500</v>
      </c>
      <c r="E200" s="56">
        <v>43155</v>
      </c>
      <c r="F200" s="8">
        <v>16999.599999999999</v>
      </c>
      <c r="G200" s="154"/>
      <c r="H200" s="126" t="s">
        <v>1100</v>
      </c>
      <c r="I200" s="156" t="s">
        <v>1700</v>
      </c>
      <c r="J200" s="72"/>
      <c r="K200" s="145"/>
      <c r="M200" s="158"/>
      <c r="N200" s="148"/>
      <c r="O200" s="148"/>
      <c r="P200" s="148"/>
      <c r="Q200" s="148"/>
    </row>
    <row r="201" spans="1:17" s="146" customFormat="1" ht="24" x14ac:dyDescent="0.25">
      <c r="A201" s="127">
        <v>194</v>
      </c>
      <c r="B201" s="60" t="s">
        <v>691</v>
      </c>
      <c r="C201" s="10" t="str">
        <f>"406-0 1 | 16-57 101"</f>
        <v>406-0 1 | 16-57 101</v>
      </c>
      <c r="D201" s="56">
        <v>42500</v>
      </c>
      <c r="E201" s="56">
        <v>43118</v>
      </c>
      <c r="F201" s="8">
        <v>220056.1</v>
      </c>
      <c r="G201" s="46">
        <v>275070.13</v>
      </c>
      <c r="H201" s="126" t="s">
        <v>1100</v>
      </c>
      <c r="I201" s="156" t="s">
        <v>1701</v>
      </c>
      <c r="J201" s="72"/>
      <c r="K201" s="145"/>
      <c r="M201" s="158"/>
      <c r="N201" s="148"/>
      <c r="O201" s="148"/>
      <c r="P201" s="148"/>
      <c r="Q201" s="148"/>
    </row>
    <row r="202" spans="1:17" s="146" customFormat="1" ht="36" x14ac:dyDescent="0.25">
      <c r="A202" s="127">
        <v>195</v>
      </c>
      <c r="B202" s="60" t="s">
        <v>865</v>
      </c>
      <c r="C202" s="10" t="str">
        <f>"DP-02/9/3-9534/16"</f>
        <v>DP-02/9/3-9534/16</v>
      </c>
      <c r="D202" s="56">
        <v>42496</v>
      </c>
      <c r="E202" s="56">
        <v>43155</v>
      </c>
      <c r="F202" s="8">
        <v>7393.08</v>
      </c>
      <c r="G202" s="46">
        <v>7590.68</v>
      </c>
      <c r="H202" s="126" t="s">
        <v>1100</v>
      </c>
      <c r="I202" s="156" t="s">
        <v>1702</v>
      </c>
      <c r="J202" s="72"/>
      <c r="K202" s="145"/>
      <c r="M202" s="158"/>
      <c r="N202" s="148"/>
      <c r="O202" s="148"/>
      <c r="P202" s="148"/>
      <c r="Q202" s="148"/>
    </row>
    <row r="203" spans="1:17" s="146" customFormat="1" x14ac:dyDescent="0.25">
      <c r="A203" s="127">
        <v>196</v>
      </c>
      <c r="B203" s="60" t="s">
        <v>602</v>
      </c>
      <c r="C203" s="10" t="str">
        <f>"15/2015/1"</f>
        <v>15/2015/1</v>
      </c>
      <c r="D203" s="56">
        <v>42496</v>
      </c>
      <c r="E203" s="56">
        <v>43155</v>
      </c>
      <c r="F203" s="8">
        <v>7751.51</v>
      </c>
      <c r="G203" s="46">
        <v>8011.43</v>
      </c>
      <c r="H203" s="126" t="s">
        <v>1100</v>
      </c>
      <c r="I203" s="156" t="s">
        <v>1703</v>
      </c>
      <c r="J203" s="72"/>
      <c r="K203" s="145"/>
      <c r="M203" s="158"/>
      <c r="N203" s="148"/>
      <c r="O203" s="148"/>
      <c r="P203" s="148"/>
      <c r="Q203" s="148"/>
    </row>
    <row r="204" spans="1:17" s="146" customFormat="1" ht="24" x14ac:dyDescent="0.25">
      <c r="A204" s="127">
        <v>197</v>
      </c>
      <c r="B204" s="60" t="s">
        <v>884</v>
      </c>
      <c r="C204" s="10" t="str">
        <f>"DP-02/9/1-009656/16"</f>
        <v>DP-02/9/1-009656/16</v>
      </c>
      <c r="D204" s="56">
        <v>42495</v>
      </c>
      <c r="E204" s="56">
        <v>43155</v>
      </c>
      <c r="F204" s="8">
        <v>17678.7</v>
      </c>
      <c r="G204" s="46">
        <v>17678.7</v>
      </c>
      <c r="H204" s="126" t="s">
        <v>1100</v>
      </c>
      <c r="I204" s="156" t="s">
        <v>1704</v>
      </c>
      <c r="J204" s="72"/>
      <c r="K204" s="145"/>
      <c r="M204" s="158"/>
      <c r="N204" s="148"/>
      <c r="O204" s="148"/>
      <c r="P204" s="148"/>
      <c r="Q204" s="148"/>
    </row>
    <row r="205" spans="1:17" s="146" customFormat="1" x14ac:dyDescent="0.25">
      <c r="A205" s="127">
        <v>198</v>
      </c>
      <c r="B205" s="60" t="s">
        <v>609</v>
      </c>
      <c r="C205" s="10" t="str">
        <f>"41-SU-333/16"</f>
        <v>41-SU-333/16</v>
      </c>
      <c r="D205" s="56">
        <v>42495</v>
      </c>
      <c r="E205" s="56">
        <v>43155</v>
      </c>
      <c r="F205" s="8">
        <v>165935.4</v>
      </c>
      <c r="G205" s="46">
        <v>166037.6</v>
      </c>
      <c r="H205" s="126" t="s">
        <v>1100</v>
      </c>
      <c r="I205" s="156" t="s">
        <v>1705</v>
      </c>
      <c r="J205" s="72"/>
      <c r="K205" s="145"/>
      <c r="M205" s="158"/>
      <c r="N205" s="148"/>
      <c r="O205" s="148"/>
      <c r="P205" s="148"/>
      <c r="Q205" s="148"/>
    </row>
    <row r="206" spans="1:17" s="146" customFormat="1" ht="24" x14ac:dyDescent="0.25">
      <c r="A206" s="127">
        <v>199</v>
      </c>
      <c r="B206" s="60" t="s">
        <v>761</v>
      </c>
      <c r="C206" s="10" t="str">
        <f>"03.2016-24.02.2018"</f>
        <v>03.2016-24.02.2018</v>
      </c>
      <c r="D206" s="56">
        <v>42495</v>
      </c>
      <c r="E206" s="56">
        <v>43155</v>
      </c>
      <c r="F206" s="8">
        <v>7163</v>
      </c>
      <c r="G206" s="46">
        <v>7421</v>
      </c>
      <c r="H206" s="126" t="s">
        <v>1100</v>
      </c>
      <c r="I206" s="156" t="s">
        <v>1706</v>
      </c>
      <c r="J206" s="72"/>
      <c r="K206" s="145"/>
      <c r="M206" s="158"/>
      <c r="N206" s="148"/>
      <c r="O206" s="148"/>
      <c r="P206" s="148"/>
      <c r="Q206" s="148"/>
    </row>
    <row r="207" spans="1:17" s="146" customFormat="1" ht="24" x14ac:dyDescent="0.25">
      <c r="A207" s="127">
        <v>200</v>
      </c>
      <c r="B207" s="60" t="s">
        <v>545</v>
      </c>
      <c r="C207" s="10" t="str">
        <f>"402-08/16-01/13"</f>
        <v>402-08/16-01/13</v>
      </c>
      <c r="D207" s="56">
        <v>42493</v>
      </c>
      <c r="E207" s="56">
        <v>42858</v>
      </c>
      <c r="F207" s="8">
        <v>0</v>
      </c>
      <c r="G207" s="46">
        <v>0</v>
      </c>
      <c r="H207" s="126" t="s">
        <v>1105</v>
      </c>
      <c r="I207" s="156" t="s">
        <v>1707</v>
      </c>
      <c r="J207" s="72"/>
      <c r="K207" s="145"/>
      <c r="M207" s="158"/>
      <c r="N207" s="148"/>
      <c r="O207" s="148"/>
      <c r="P207" s="148"/>
      <c r="Q207" s="148"/>
    </row>
    <row r="208" spans="1:17" s="146" customFormat="1" ht="24" x14ac:dyDescent="0.25">
      <c r="A208" s="127">
        <v>201</v>
      </c>
      <c r="B208" s="60" t="s">
        <v>774</v>
      </c>
      <c r="C208" s="10" t="str">
        <f>"406-09/16-01/03"</f>
        <v>406-09/16-01/03</v>
      </c>
      <c r="D208" s="56">
        <v>42492</v>
      </c>
      <c r="E208" s="56">
        <v>43155</v>
      </c>
      <c r="F208" s="8">
        <v>26002.12</v>
      </c>
      <c r="G208" s="46">
        <v>26055.32</v>
      </c>
      <c r="H208" s="126" t="s">
        <v>1100</v>
      </c>
      <c r="I208" s="156" t="s">
        <v>1708</v>
      </c>
      <c r="J208" s="72"/>
      <c r="K208" s="145"/>
      <c r="M208" s="158"/>
      <c r="N208" s="148"/>
      <c r="O208" s="148"/>
      <c r="P208" s="148"/>
      <c r="Q208" s="148"/>
    </row>
    <row r="209" spans="1:17" s="146" customFormat="1" ht="24" x14ac:dyDescent="0.25">
      <c r="A209" s="127">
        <v>202</v>
      </c>
      <c r="B209" s="60" t="s">
        <v>750</v>
      </c>
      <c r="C209" s="10" t="str">
        <f>"DP-02/9/1-009605/16"</f>
        <v>DP-02/9/1-009605/16</v>
      </c>
      <c r="D209" s="56">
        <v>42496</v>
      </c>
      <c r="E209" s="56">
        <v>42790</v>
      </c>
      <c r="F209" s="8">
        <v>104783.8</v>
      </c>
      <c r="G209" s="46">
        <v>104817.55</v>
      </c>
      <c r="H209" s="126" t="s">
        <v>1103</v>
      </c>
      <c r="I209" s="156" t="s">
        <v>1709</v>
      </c>
      <c r="J209" s="72"/>
      <c r="K209" s="145"/>
      <c r="M209" s="158"/>
      <c r="N209" s="148"/>
      <c r="O209" s="148"/>
      <c r="P209" s="148"/>
      <c r="Q209" s="148"/>
    </row>
    <row r="210" spans="1:17" s="146" customFormat="1" x14ac:dyDescent="0.25">
      <c r="A210" s="127">
        <v>203</v>
      </c>
      <c r="B210" s="60" t="s">
        <v>496</v>
      </c>
      <c r="C210" s="10" t="str">
        <f>"UG-01/2016"</f>
        <v>UG-01/2016</v>
      </c>
      <c r="D210" s="56">
        <v>42492</v>
      </c>
      <c r="E210" s="56">
        <v>43155</v>
      </c>
      <c r="F210" s="8">
        <v>7555</v>
      </c>
      <c r="G210" s="46">
        <v>7555</v>
      </c>
      <c r="H210" s="126" t="s">
        <v>1100</v>
      </c>
      <c r="I210" s="156" t="s">
        <v>1710</v>
      </c>
      <c r="J210" s="72"/>
      <c r="K210" s="145"/>
      <c r="M210" s="158"/>
      <c r="N210" s="148"/>
      <c r="O210" s="148"/>
      <c r="P210" s="148"/>
      <c r="Q210" s="148"/>
    </row>
    <row r="211" spans="1:17" s="146" customFormat="1" ht="36" x14ac:dyDescent="0.25">
      <c r="A211" s="127">
        <v>204</v>
      </c>
      <c r="B211" s="60" t="s">
        <v>704</v>
      </c>
      <c r="C211" s="10" t="str">
        <f>"UG 15/2015"</f>
        <v>UG 15/2015</v>
      </c>
      <c r="D211" s="56">
        <v>42492</v>
      </c>
      <c r="E211" s="56">
        <v>43222</v>
      </c>
      <c r="F211" s="8">
        <v>42698.94</v>
      </c>
      <c r="G211" s="46">
        <v>43322.14</v>
      </c>
      <c r="H211" s="126" t="s">
        <v>1100</v>
      </c>
      <c r="I211" s="156" t="s">
        <v>1711</v>
      </c>
      <c r="J211" s="72"/>
      <c r="K211" s="145"/>
      <c r="M211" s="158"/>
      <c r="N211" s="148"/>
      <c r="O211" s="148"/>
      <c r="P211" s="148"/>
      <c r="Q211" s="148"/>
    </row>
    <row r="212" spans="1:17" s="146" customFormat="1" ht="24" x14ac:dyDescent="0.25">
      <c r="A212" s="127">
        <v>205</v>
      </c>
      <c r="B212" s="60" t="s">
        <v>909</v>
      </c>
      <c r="C212" s="10" t="str">
        <f>"432-02/16-01/01"</f>
        <v>432-02/16-01/01</v>
      </c>
      <c r="D212" s="56">
        <v>42475</v>
      </c>
      <c r="E212" s="56">
        <v>43155</v>
      </c>
      <c r="F212" s="8">
        <v>5556.7</v>
      </c>
      <c r="G212" s="46">
        <v>6945.88</v>
      </c>
      <c r="H212" s="126" t="s">
        <v>1100</v>
      </c>
      <c r="I212" s="156" t="s">
        <v>1712</v>
      </c>
      <c r="J212" s="72"/>
      <c r="K212" s="145"/>
      <c r="M212" s="158"/>
      <c r="N212" s="148"/>
      <c r="O212" s="148"/>
      <c r="P212" s="148"/>
      <c r="Q212" s="148"/>
    </row>
    <row r="213" spans="1:17" s="146" customFormat="1" ht="24" x14ac:dyDescent="0.25">
      <c r="A213" s="127">
        <v>206</v>
      </c>
      <c r="B213" s="60" t="s">
        <v>699</v>
      </c>
      <c r="C213" s="10" t="str">
        <f>"DP-02/9/1-007273/16"</f>
        <v>DP-02/9/1-007273/16</v>
      </c>
      <c r="D213" s="56">
        <v>42461</v>
      </c>
      <c r="E213" s="56">
        <v>43221</v>
      </c>
      <c r="F213" s="8">
        <v>58522.48</v>
      </c>
      <c r="G213" s="46">
        <v>60040.800000000003</v>
      </c>
      <c r="H213" s="126" t="s">
        <v>1100</v>
      </c>
      <c r="I213" s="156" t="s">
        <v>1713</v>
      </c>
      <c r="J213" s="72"/>
      <c r="K213" s="145"/>
      <c r="M213" s="158"/>
      <c r="N213" s="148"/>
      <c r="O213" s="148"/>
      <c r="P213" s="148"/>
      <c r="Q213" s="148"/>
    </row>
    <row r="214" spans="1:17" s="146" customFormat="1" ht="24" x14ac:dyDescent="0.25">
      <c r="A214" s="127">
        <v>207</v>
      </c>
      <c r="B214" s="60" t="s">
        <v>562</v>
      </c>
      <c r="C214" s="10" t="str">
        <f>"406-09/16-01/2"</f>
        <v>406-09/16-01/2</v>
      </c>
      <c r="D214" s="56">
        <v>42485</v>
      </c>
      <c r="E214" s="56">
        <v>43220</v>
      </c>
      <c r="F214" s="8">
        <v>550000</v>
      </c>
      <c r="G214" s="46">
        <v>551012.26</v>
      </c>
      <c r="H214" s="126" t="s">
        <v>1100</v>
      </c>
      <c r="I214" s="156" t="s">
        <v>1714</v>
      </c>
      <c r="J214" s="72"/>
      <c r="K214" s="145"/>
      <c r="M214" s="158"/>
      <c r="N214" s="148"/>
      <c r="O214" s="148"/>
      <c r="P214" s="148"/>
      <c r="Q214" s="148"/>
    </row>
    <row r="215" spans="1:17" s="146" customFormat="1" ht="24" x14ac:dyDescent="0.25">
      <c r="A215" s="127">
        <v>208</v>
      </c>
      <c r="B215" s="60" t="s">
        <v>740</v>
      </c>
      <c r="C215" s="10" t="str">
        <f>"06/2016"</f>
        <v>06/2016</v>
      </c>
      <c r="D215" s="56">
        <v>42489</v>
      </c>
      <c r="E215" s="56">
        <v>42855</v>
      </c>
      <c r="F215" s="8">
        <v>114598.85</v>
      </c>
      <c r="G215" s="46">
        <v>114598.85</v>
      </c>
      <c r="H215" s="126" t="s">
        <v>1499</v>
      </c>
      <c r="I215" s="156" t="s">
        <v>1715</v>
      </c>
      <c r="J215" s="72"/>
      <c r="K215" s="145"/>
      <c r="M215" s="158"/>
      <c r="N215" s="148"/>
      <c r="O215" s="148"/>
      <c r="P215" s="148"/>
      <c r="Q215" s="148"/>
    </row>
    <row r="216" spans="1:17" s="146" customFormat="1" ht="36" x14ac:dyDescent="0.25">
      <c r="A216" s="127">
        <v>209</v>
      </c>
      <c r="B216" s="60" t="s">
        <v>543</v>
      </c>
      <c r="C216" s="10" t="str">
        <f>"UGOVOR ZA POŠTANSKE USLUGE"</f>
        <v>UGOVOR ZA POŠTANSKE USLUGE</v>
      </c>
      <c r="D216" s="56">
        <v>42836</v>
      </c>
      <c r="E216" s="56">
        <v>43155</v>
      </c>
      <c r="F216" s="8">
        <v>0</v>
      </c>
      <c r="G216" s="46">
        <v>0</v>
      </c>
      <c r="H216" s="126" t="s">
        <v>1100</v>
      </c>
      <c r="I216" s="156" t="s">
        <v>1716</v>
      </c>
      <c r="J216" s="72"/>
      <c r="K216" s="145"/>
      <c r="M216" s="158"/>
      <c r="N216" s="148"/>
      <c r="O216" s="148"/>
      <c r="P216" s="148"/>
      <c r="Q216" s="148"/>
    </row>
    <row r="217" spans="1:17" s="146" customFormat="1" ht="24" x14ac:dyDescent="0.25">
      <c r="A217" s="127">
        <v>210</v>
      </c>
      <c r="B217" s="60" t="s">
        <v>789</v>
      </c>
      <c r="C217" s="10" t="str">
        <f>"DP-02/9/4-008580/16"</f>
        <v>DP-02/9/4-008580/16</v>
      </c>
      <c r="D217" s="56">
        <v>42492</v>
      </c>
      <c r="E217" s="56">
        <v>43155</v>
      </c>
      <c r="F217" s="8">
        <v>9550.08</v>
      </c>
      <c r="G217" s="46">
        <v>11937.6</v>
      </c>
      <c r="H217" s="126" t="s">
        <v>1100</v>
      </c>
      <c r="I217" s="156" t="s">
        <v>1717</v>
      </c>
      <c r="J217" s="72"/>
      <c r="K217" s="145"/>
      <c r="M217" s="158"/>
      <c r="N217" s="148"/>
      <c r="O217" s="148"/>
      <c r="P217" s="148"/>
      <c r="Q217" s="148"/>
    </row>
    <row r="218" spans="1:17" s="146" customFormat="1" ht="36" x14ac:dyDescent="0.25">
      <c r="A218" s="127">
        <v>211</v>
      </c>
      <c r="B218" s="60" t="s">
        <v>189</v>
      </c>
      <c r="C218" s="10" t="str">
        <f>"02-C-U-0082/16-90"</f>
        <v>02-C-U-0082/16-90</v>
      </c>
      <c r="D218" s="56">
        <v>42513</v>
      </c>
      <c r="E218" s="56">
        <v>42825</v>
      </c>
      <c r="F218" s="8">
        <v>149689.35999999999</v>
      </c>
      <c r="G218" s="46">
        <v>150277.54999999999</v>
      </c>
      <c r="H218" s="126" t="s">
        <v>1103</v>
      </c>
      <c r="I218" s="156" t="s">
        <v>1718</v>
      </c>
      <c r="J218" s="72"/>
      <c r="K218" s="145"/>
      <c r="M218" s="158"/>
      <c r="N218" s="148"/>
      <c r="O218" s="148"/>
      <c r="P218" s="148"/>
      <c r="Q218" s="148"/>
    </row>
    <row r="219" spans="1:17" s="146" customFormat="1" ht="36" x14ac:dyDescent="0.25">
      <c r="A219" s="127">
        <v>212</v>
      </c>
      <c r="B219" s="60" t="s">
        <v>775</v>
      </c>
      <c r="C219" s="10" t="str">
        <f>"115604-2016"</f>
        <v>115604-2016</v>
      </c>
      <c r="D219" s="56">
        <v>42507</v>
      </c>
      <c r="E219" s="56">
        <v>43155</v>
      </c>
      <c r="F219" s="8">
        <v>157921.20000000001</v>
      </c>
      <c r="G219" s="46">
        <v>197401.5</v>
      </c>
      <c r="H219" s="126" t="s">
        <v>1100</v>
      </c>
      <c r="I219" s="156" t="s">
        <v>1719</v>
      </c>
      <c r="J219" s="72"/>
      <c r="K219" s="145"/>
      <c r="M219" s="158"/>
      <c r="N219" s="148"/>
      <c r="O219" s="148"/>
      <c r="P219" s="148"/>
      <c r="Q219" s="148"/>
    </row>
    <row r="220" spans="1:17" s="146" customFormat="1" ht="24" x14ac:dyDescent="0.25">
      <c r="A220" s="127">
        <v>213</v>
      </c>
      <c r="B220" s="60" t="s">
        <v>511</v>
      </c>
      <c r="C220" s="10" t="str">
        <f>"1. P.U. (594/2016)"</f>
        <v>1. P.U. (594/2016)</v>
      </c>
      <c r="D220" s="56">
        <v>42479</v>
      </c>
      <c r="E220" s="56">
        <v>43155</v>
      </c>
      <c r="F220" s="8">
        <v>32552.400000000001</v>
      </c>
      <c r="G220" s="46">
        <v>33230.400000000001</v>
      </c>
      <c r="H220" s="126" t="s">
        <v>1100</v>
      </c>
      <c r="I220" s="156" t="s">
        <v>1720</v>
      </c>
      <c r="J220" s="72"/>
      <c r="K220" s="145"/>
      <c r="M220" s="158"/>
      <c r="N220" s="148"/>
      <c r="O220" s="148"/>
      <c r="P220" s="148"/>
      <c r="Q220" s="148"/>
    </row>
    <row r="221" spans="1:17" s="146" customFormat="1" ht="24" x14ac:dyDescent="0.25">
      <c r="A221" s="127">
        <v>214</v>
      </c>
      <c r="B221" s="60" t="s">
        <v>783</v>
      </c>
      <c r="C221" s="10" t="str">
        <f>"MFS/HP-2016"</f>
        <v>MFS/HP-2016</v>
      </c>
      <c r="D221" s="56">
        <v>42491</v>
      </c>
      <c r="E221" s="56">
        <v>43155</v>
      </c>
      <c r="F221" s="8">
        <v>60000</v>
      </c>
      <c r="G221" s="46">
        <v>62300.1</v>
      </c>
      <c r="H221" s="126" t="s">
        <v>1100</v>
      </c>
      <c r="I221" s="156" t="s">
        <v>1721</v>
      </c>
      <c r="J221" s="72"/>
      <c r="K221" s="145"/>
      <c r="M221" s="158"/>
      <c r="N221" s="148"/>
      <c r="O221" s="148"/>
      <c r="P221" s="148"/>
      <c r="Q221" s="148"/>
    </row>
    <row r="222" spans="1:17" s="146" customFormat="1" ht="24" x14ac:dyDescent="0.25">
      <c r="A222" s="127">
        <v>215</v>
      </c>
      <c r="B222" s="60" t="s">
        <v>939</v>
      </c>
      <c r="C222" s="10" t="str">
        <f>"DP-02-7322/16"</f>
        <v>DP-02-7322/16</v>
      </c>
      <c r="D222" s="56">
        <v>42489</v>
      </c>
      <c r="E222" s="56">
        <v>43155</v>
      </c>
      <c r="F222" s="8">
        <v>5488</v>
      </c>
      <c r="G222" s="46">
        <v>5537</v>
      </c>
      <c r="H222" s="128"/>
      <c r="I222" s="156" t="s">
        <v>1101</v>
      </c>
      <c r="J222" s="72"/>
      <c r="K222" s="145"/>
      <c r="M222" s="158"/>
      <c r="N222" s="148"/>
      <c r="O222" s="148"/>
      <c r="P222" s="148"/>
      <c r="Q222" s="148"/>
    </row>
    <row r="223" spans="1:17" s="146" customFormat="1" ht="24" x14ac:dyDescent="0.25">
      <c r="A223" s="127">
        <v>216</v>
      </c>
      <c r="B223" s="60" t="s">
        <v>867</v>
      </c>
      <c r="C223" s="10" t="str">
        <f>"DP-02/9/2-9111/16"</f>
        <v>DP-02/9/2-9111/16</v>
      </c>
      <c r="D223" s="56">
        <v>42489</v>
      </c>
      <c r="E223" s="56">
        <v>43155</v>
      </c>
      <c r="F223" s="8">
        <v>115619.34</v>
      </c>
      <c r="G223" s="46">
        <v>144524.18</v>
      </c>
      <c r="H223" s="126" t="s">
        <v>1100</v>
      </c>
      <c r="I223" s="156" t="s">
        <v>1722</v>
      </c>
      <c r="J223" s="72"/>
      <c r="K223" s="145"/>
      <c r="M223" s="158"/>
      <c r="N223" s="148"/>
      <c r="O223" s="148"/>
      <c r="P223" s="148"/>
      <c r="Q223" s="148"/>
    </row>
    <row r="224" spans="1:17" s="146" customFormat="1" ht="36" x14ac:dyDescent="0.25">
      <c r="A224" s="127">
        <v>217</v>
      </c>
      <c r="B224" s="60" t="s">
        <v>776</v>
      </c>
      <c r="C224" s="10" t="str">
        <f>"KLASA: 001-06/16-01/0001"</f>
        <v>KLASA: 001-06/16-01/0001</v>
      </c>
      <c r="D224" s="56">
        <v>42488</v>
      </c>
      <c r="E224" s="56">
        <v>43155</v>
      </c>
      <c r="F224" s="8">
        <v>60452.78</v>
      </c>
      <c r="G224" s="46">
        <v>62066.36</v>
      </c>
      <c r="H224" s="126" t="s">
        <v>1103</v>
      </c>
      <c r="I224" s="156" t="s">
        <v>1723</v>
      </c>
      <c r="J224" s="72"/>
      <c r="K224" s="145"/>
      <c r="M224" s="158"/>
      <c r="N224" s="148"/>
      <c r="O224" s="148"/>
      <c r="P224" s="148"/>
      <c r="Q224" s="148"/>
    </row>
    <row r="225" spans="1:17" s="146" customFormat="1" ht="36" x14ac:dyDescent="0.25">
      <c r="A225" s="127">
        <v>218</v>
      </c>
      <c r="B225" s="60" t="s">
        <v>782</v>
      </c>
      <c r="C225" s="10" t="str">
        <f>"2158-82-01-16-02"</f>
        <v>2158-82-01-16-02</v>
      </c>
      <c r="D225" s="56">
        <v>42488</v>
      </c>
      <c r="E225" s="56">
        <v>43155</v>
      </c>
      <c r="F225" s="8">
        <v>47046.35</v>
      </c>
      <c r="G225" s="46">
        <v>47810.98</v>
      </c>
      <c r="H225" s="126" t="s">
        <v>1100</v>
      </c>
      <c r="I225" s="156" t="s">
        <v>1724</v>
      </c>
      <c r="J225" s="72"/>
      <c r="K225" s="145"/>
      <c r="M225" s="158"/>
      <c r="N225" s="148"/>
      <c r="O225" s="148"/>
      <c r="P225" s="148"/>
      <c r="Q225" s="148"/>
    </row>
    <row r="226" spans="1:17" s="146" customFormat="1" ht="24" x14ac:dyDescent="0.25">
      <c r="A226" s="127">
        <v>219</v>
      </c>
      <c r="B226" s="60" t="s">
        <v>646</v>
      </c>
      <c r="C226" s="10" t="str">
        <f>"602-04/16-20/23"</f>
        <v>602-04/16-20/23</v>
      </c>
      <c r="D226" s="56">
        <v>42565</v>
      </c>
      <c r="E226" s="56">
        <v>43155</v>
      </c>
      <c r="F226" s="8">
        <v>278274.3</v>
      </c>
      <c r="G226" s="46">
        <v>347842.88</v>
      </c>
      <c r="H226" s="126" t="s">
        <v>1100</v>
      </c>
      <c r="I226" s="156" t="s">
        <v>1725</v>
      </c>
      <c r="J226" s="72"/>
      <c r="K226" s="145"/>
      <c r="M226" s="158"/>
      <c r="N226" s="148"/>
      <c r="O226" s="148"/>
      <c r="P226" s="148"/>
      <c r="Q226" s="148"/>
    </row>
    <row r="227" spans="1:17" s="146" customFormat="1" ht="36" x14ac:dyDescent="0.25">
      <c r="A227" s="127">
        <v>220</v>
      </c>
      <c r="B227" s="60" t="s">
        <v>560</v>
      </c>
      <c r="C227" s="10" t="str">
        <f>"UGOVOR O NABAVI POŠT. USLUGA"</f>
        <v>UGOVOR O NABAVI POŠT. USLUGA</v>
      </c>
      <c r="D227" s="56">
        <v>42565</v>
      </c>
      <c r="E227" s="56">
        <v>43155</v>
      </c>
      <c r="F227" s="8">
        <v>74113.100000000006</v>
      </c>
      <c r="G227" s="46">
        <v>82178.5</v>
      </c>
      <c r="H227" s="126" t="s">
        <v>1100</v>
      </c>
      <c r="I227" s="156" t="s">
        <v>1726</v>
      </c>
      <c r="J227" s="72"/>
      <c r="K227" s="145"/>
      <c r="M227" s="158"/>
      <c r="N227" s="148"/>
      <c r="O227" s="148"/>
      <c r="P227" s="148"/>
      <c r="Q227" s="148"/>
    </row>
    <row r="228" spans="1:17" s="146" customFormat="1" ht="24" x14ac:dyDescent="0.25">
      <c r="A228" s="127">
        <v>221</v>
      </c>
      <c r="B228" s="60" t="s">
        <v>508</v>
      </c>
      <c r="C228" s="10" t="str">
        <f>"03-3815/2-2016"</f>
        <v>03-3815/2-2016</v>
      </c>
      <c r="D228" s="56">
        <v>42486</v>
      </c>
      <c r="E228" s="56">
        <v>42851</v>
      </c>
      <c r="F228" s="8">
        <v>79297.45</v>
      </c>
      <c r="G228" s="46">
        <v>81109.87</v>
      </c>
      <c r="H228" s="126" t="s">
        <v>1515</v>
      </c>
      <c r="I228" s="156" t="s">
        <v>1727</v>
      </c>
      <c r="J228" s="72"/>
      <c r="K228" s="145"/>
      <c r="M228" s="158"/>
      <c r="N228" s="148"/>
      <c r="O228" s="148"/>
      <c r="P228" s="148"/>
      <c r="Q228" s="148"/>
    </row>
    <row r="229" spans="1:17" s="146" customFormat="1" ht="24" x14ac:dyDescent="0.25">
      <c r="A229" s="127">
        <v>222</v>
      </c>
      <c r="B229" s="60" t="s">
        <v>850</v>
      </c>
      <c r="C229" s="10" t="str">
        <f>"DP-02/9/5-009157/16"</f>
        <v>DP-02/9/5-009157/16</v>
      </c>
      <c r="D229" s="56">
        <v>42485</v>
      </c>
      <c r="E229" s="56">
        <v>43155</v>
      </c>
      <c r="F229" s="8">
        <v>231054.62</v>
      </c>
      <c r="G229" s="46">
        <v>231056.62</v>
      </c>
      <c r="H229" s="126" t="s">
        <v>1100</v>
      </c>
      <c r="I229" s="156" t="s">
        <v>1728</v>
      </c>
      <c r="J229" s="72"/>
      <c r="K229" s="145"/>
      <c r="M229" s="158"/>
      <c r="N229" s="148"/>
      <c r="O229" s="148"/>
      <c r="P229" s="148"/>
      <c r="Q229" s="148"/>
    </row>
    <row r="230" spans="1:17" s="146" customFormat="1" ht="36" x14ac:dyDescent="0.25">
      <c r="A230" s="127">
        <v>223</v>
      </c>
      <c r="B230" s="60" t="s">
        <v>527</v>
      </c>
      <c r="C230" s="10" t="str">
        <f>"406-07/16-01/0017"</f>
        <v>406-07/16-01/0017</v>
      </c>
      <c r="D230" s="56">
        <v>42485</v>
      </c>
      <c r="E230" s="56">
        <v>43155</v>
      </c>
      <c r="F230" s="8">
        <v>42801.58</v>
      </c>
      <c r="G230" s="46">
        <v>42995.76</v>
      </c>
      <c r="H230" s="126" t="s">
        <v>1100</v>
      </c>
      <c r="I230" s="156" t="s">
        <v>1729</v>
      </c>
      <c r="J230" s="72"/>
      <c r="K230" s="145"/>
      <c r="M230" s="158"/>
      <c r="N230" s="148"/>
      <c r="O230" s="148"/>
      <c r="P230" s="148"/>
      <c r="Q230" s="148"/>
    </row>
    <row r="231" spans="1:17" s="146" customFormat="1" ht="48" x14ac:dyDescent="0.25">
      <c r="A231" s="127">
        <v>224</v>
      </c>
      <c r="B231" s="60" t="s">
        <v>846</v>
      </c>
      <c r="C231" s="10" t="str">
        <f>"UGOVO O NABAVI POŠTANSKIH USLU"</f>
        <v>UGOVO O NABAVI POŠTANSKIH USLU</v>
      </c>
      <c r="D231" s="56">
        <v>42485</v>
      </c>
      <c r="E231" s="56">
        <v>42790</v>
      </c>
      <c r="F231" s="8">
        <v>30323.599999999999</v>
      </c>
      <c r="G231" s="46">
        <v>33123.5</v>
      </c>
      <c r="H231" s="126" t="s">
        <v>1511</v>
      </c>
      <c r="I231" s="156" t="s">
        <v>1730</v>
      </c>
      <c r="J231" s="72"/>
      <c r="K231" s="145"/>
      <c r="M231" s="158"/>
      <c r="N231" s="148"/>
      <c r="O231" s="148"/>
      <c r="P231" s="148"/>
      <c r="Q231" s="148"/>
    </row>
    <row r="232" spans="1:17" s="146" customFormat="1" ht="36" x14ac:dyDescent="0.25">
      <c r="A232" s="127">
        <v>225</v>
      </c>
      <c r="B232" s="60" t="s">
        <v>650</v>
      </c>
      <c r="C232" s="10" t="str">
        <f>"O NABAVI POŠTANSKIH USLUGA"</f>
        <v>O NABAVI POŠTANSKIH USLUGA</v>
      </c>
      <c r="D232" s="56">
        <v>42485</v>
      </c>
      <c r="E232" s="56">
        <v>43155</v>
      </c>
      <c r="F232" s="8">
        <v>0</v>
      </c>
      <c r="G232" s="46">
        <v>0</v>
      </c>
      <c r="H232" s="126" t="s">
        <v>1100</v>
      </c>
      <c r="I232" s="156" t="s">
        <v>1731</v>
      </c>
      <c r="J232" s="72"/>
      <c r="K232" s="145"/>
      <c r="M232" s="158"/>
      <c r="N232" s="148"/>
      <c r="O232" s="148"/>
      <c r="P232" s="148"/>
      <c r="Q232" s="148"/>
    </row>
    <row r="233" spans="1:17" s="146" customFormat="1" ht="24" x14ac:dyDescent="0.25">
      <c r="A233" s="127">
        <v>226</v>
      </c>
      <c r="B233" s="60" t="s">
        <v>480</v>
      </c>
      <c r="C233" s="10" t="str">
        <f>"406-09/16-01/01"</f>
        <v>406-09/16-01/01</v>
      </c>
      <c r="D233" s="56">
        <v>42482</v>
      </c>
      <c r="E233" s="56">
        <v>43155</v>
      </c>
      <c r="F233" s="8">
        <v>49921.06</v>
      </c>
      <c r="G233" s="46">
        <v>49921.06</v>
      </c>
      <c r="H233" s="126" t="s">
        <v>1100</v>
      </c>
      <c r="I233" s="156" t="s">
        <v>1732</v>
      </c>
      <c r="J233" s="72"/>
      <c r="K233" s="145"/>
      <c r="M233" s="158"/>
      <c r="N233" s="148"/>
      <c r="O233" s="148"/>
      <c r="P233" s="148"/>
      <c r="Q233" s="148"/>
    </row>
    <row r="234" spans="1:17" s="146" customFormat="1" x14ac:dyDescent="0.25">
      <c r="A234" s="127">
        <v>227</v>
      </c>
      <c r="B234" s="60" t="s">
        <v>710</v>
      </c>
      <c r="C234" s="10" t="str">
        <f>"17 SU-60/2016"</f>
        <v>17 SU-60/2016</v>
      </c>
      <c r="D234" s="56">
        <v>42482</v>
      </c>
      <c r="E234" s="56">
        <v>43155</v>
      </c>
      <c r="F234" s="8">
        <v>653206.28</v>
      </c>
      <c r="G234" s="46">
        <v>816507.85</v>
      </c>
      <c r="H234" s="126" t="s">
        <v>1100</v>
      </c>
      <c r="I234" s="156" t="s">
        <v>1733</v>
      </c>
      <c r="J234" s="72"/>
      <c r="K234" s="145"/>
      <c r="M234" s="158"/>
      <c r="N234" s="148"/>
      <c r="O234" s="148"/>
      <c r="P234" s="148"/>
      <c r="Q234" s="148"/>
    </row>
    <row r="235" spans="1:17" s="146" customFormat="1" ht="24" x14ac:dyDescent="0.25">
      <c r="A235" s="127">
        <v>228</v>
      </c>
      <c r="B235" s="60" t="s">
        <v>605</v>
      </c>
      <c r="C235" s="10" t="str">
        <f>"DP-02/9/4-008449/16"</f>
        <v>DP-02/9/4-008449/16</v>
      </c>
      <c r="D235" s="56">
        <v>42481</v>
      </c>
      <c r="E235" s="56">
        <v>43155</v>
      </c>
      <c r="F235" s="8">
        <v>17259.419999999998</v>
      </c>
      <c r="G235" s="46">
        <v>18406.14</v>
      </c>
      <c r="H235" s="126" t="s">
        <v>1100</v>
      </c>
      <c r="I235" s="156" t="s">
        <v>1734</v>
      </c>
      <c r="J235" s="72"/>
      <c r="K235" s="145"/>
      <c r="M235" s="158"/>
      <c r="N235" s="148"/>
      <c r="O235" s="148"/>
      <c r="P235" s="148"/>
      <c r="Q235" s="148"/>
    </row>
    <row r="236" spans="1:17" s="146" customFormat="1" ht="36" x14ac:dyDescent="0.25">
      <c r="A236" s="127">
        <v>229</v>
      </c>
      <c r="B236" s="60" t="s">
        <v>572</v>
      </c>
      <c r="C236" s="10" t="str">
        <f>"DP-02/9/3-9375/16"</f>
        <v>DP-02/9/3-9375/16</v>
      </c>
      <c r="D236" s="56">
        <v>42424</v>
      </c>
      <c r="E236" s="56">
        <v>43155</v>
      </c>
      <c r="F236" s="8">
        <v>3057.28</v>
      </c>
      <c r="G236" s="46">
        <v>3089.96</v>
      </c>
      <c r="H236" s="126" t="s">
        <v>1100</v>
      </c>
      <c r="I236" s="156" t="s">
        <v>1735</v>
      </c>
      <c r="J236" s="72"/>
      <c r="K236" s="145"/>
      <c r="M236" s="158"/>
      <c r="N236" s="148"/>
      <c r="O236" s="148"/>
      <c r="P236" s="148"/>
      <c r="Q236" s="148"/>
    </row>
    <row r="237" spans="1:17" s="146" customFormat="1" x14ac:dyDescent="0.25">
      <c r="A237" s="127">
        <v>230</v>
      </c>
      <c r="B237" s="60" t="s">
        <v>587</v>
      </c>
      <c r="C237" s="10" t="str">
        <f>"406-09"</f>
        <v>406-09</v>
      </c>
      <c r="D237" s="56">
        <v>42480</v>
      </c>
      <c r="E237" s="56">
        <v>42790</v>
      </c>
      <c r="F237" s="8">
        <v>60354.3</v>
      </c>
      <c r="G237" s="46">
        <v>62170.25</v>
      </c>
      <c r="H237" s="126" t="s">
        <v>1511</v>
      </c>
      <c r="I237" s="156" t="s">
        <v>1736</v>
      </c>
      <c r="J237" s="72"/>
      <c r="K237" s="145"/>
      <c r="M237" s="158"/>
      <c r="N237" s="148"/>
      <c r="O237" s="148"/>
      <c r="P237" s="148"/>
      <c r="Q237" s="148"/>
    </row>
    <row r="238" spans="1:17" s="146" customFormat="1" ht="24" x14ac:dyDescent="0.25">
      <c r="A238" s="127">
        <v>231</v>
      </c>
      <c r="B238" s="60" t="s">
        <v>811</v>
      </c>
      <c r="C238" s="10" t="str">
        <f>"135/2016"</f>
        <v>135/2016</v>
      </c>
      <c r="D238" s="56">
        <v>42481</v>
      </c>
      <c r="E238" s="56">
        <v>43155</v>
      </c>
      <c r="F238" s="8">
        <v>14895</v>
      </c>
      <c r="G238" s="46">
        <v>18618.75</v>
      </c>
      <c r="H238" s="126" t="s">
        <v>1100</v>
      </c>
      <c r="I238" s="156" t="s">
        <v>1737</v>
      </c>
      <c r="J238" s="72"/>
      <c r="K238" s="145"/>
      <c r="M238" s="158"/>
      <c r="N238" s="148"/>
      <c r="O238" s="148"/>
      <c r="P238" s="148"/>
      <c r="Q238" s="148"/>
    </row>
    <row r="239" spans="1:17" s="146" customFormat="1" ht="24" x14ac:dyDescent="0.25">
      <c r="A239" s="127">
        <v>232</v>
      </c>
      <c r="B239" s="60" t="s">
        <v>610</v>
      </c>
      <c r="C239" s="10" t="str">
        <f>"DP-02/9/3-6510/16"</f>
        <v>DP-02/9/3-6510/16</v>
      </c>
      <c r="D239" s="56">
        <v>42481</v>
      </c>
      <c r="E239" s="56">
        <v>43155</v>
      </c>
      <c r="F239" s="8">
        <v>21437.1</v>
      </c>
      <c r="G239" s="46">
        <v>26796.38</v>
      </c>
      <c r="H239" s="126" t="s">
        <v>1100</v>
      </c>
      <c r="I239" s="156" t="s">
        <v>1738</v>
      </c>
      <c r="J239" s="72"/>
      <c r="K239" s="145"/>
      <c r="M239" s="158"/>
      <c r="N239" s="148"/>
      <c r="O239" s="148"/>
      <c r="P239" s="148"/>
      <c r="Q239" s="148"/>
    </row>
    <row r="240" spans="1:17" s="146" customFormat="1" ht="24" x14ac:dyDescent="0.25">
      <c r="A240" s="127">
        <v>233</v>
      </c>
      <c r="B240" s="60" t="s">
        <v>829</v>
      </c>
      <c r="C240" s="10" t="str">
        <f>"DP-02/9/2-9112/16"</f>
        <v>DP-02/9/2-9112/16</v>
      </c>
      <c r="D240" s="56">
        <v>42481</v>
      </c>
      <c r="E240" s="56">
        <v>42846</v>
      </c>
      <c r="F240" s="8">
        <v>52262</v>
      </c>
      <c r="G240" s="46">
        <v>65327.5</v>
      </c>
      <c r="H240" s="126" t="s">
        <v>1100</v>
      </c>
      <c r="I240" s="156" t="s">
        <v>1739</v>
      </c>
      <c r="J240" s="72"/>
      <c r="K240" s="145"/>
      <c r="M240" s="158"/>
      <c r="N240" s="148"/>
      <c r="O240" s="148"/>
      <c r="P240" s="148"/>
      <c r="Q240" s="148"/>
    </row>
    <row r="241" spans="1:17" s="146" customFormat="1" ht="24" x14ac:dyDescent="0.25">
      <c r="A241" s="127">
        <v>234</v>
      </c>
      <c r="B241" s="60" t="s">
        <v>826</v>
      </c>
      <c r="C241" s="10" t="str">
        <f>"DP-02/9/1-008258/16"</f>
        <v>DP-02/9/1-008258/16</v>
      </c>
      <c r="D241" s="56">
        <v>42480</v>
      </c>
      <c r="E241" s="56">
        <v>43155</v>
      </c>
      <c r="F241" s="8">
        <v>28724.85</v>
      </c>
      <c r="G241" s="46">
        <v>33513.050000000003</v>
      </c>
      <c r="H241" s="126" t="s">
        <v>1100</v>
      </c>
      <c r="I241" s="156" t="s">
        <v>1740</v>
      </c>
      <c r="J241" s="72"/>
      <c r="K241" s="145"/>
      <c r="M241" s="158"/>
      <c r="N241" s="148"/>
      <c r="O241" s="148"/>
      <c r="P241" s="148"/>
      <c r="Q241" s="148"/>
    </row>
    <row r="242" spans="1:17" s="146" customFormat="1" x14ac:dyDescent="0.25">
      <c r="A242" s="127">
        <v>235</v>
      </c>
      <c r="B242" s="60" t="s">
        <v>810</v>
      </c>
      <c r="C242" s="10" t="str">
        <f>"01-184/1-16"</f>
        <v>01-184/1-16</v>
      </c>
      <c r="D242" s="56">
        <v>42479</v>
      </c>
      <c r="E242" s="56">
        <v>43155</v>
      </c>
      <c r="F242" s="8">
        <v>15846.75</v>
      </c>
      <c r="G242" s="46">
        <v>19808.439999999999</v>
      </c>
      <c r="H242" s="126" t="s">
        <v>1100</v>
      </c>
      <c r="I242" s="156" t="s">
        <v>1741</v>
      </c>
      <c r="J242" s="72"/>
      <c r="K242" s="145"/>
      <c r="M242" s="158"/>
      <c r="N242" s="148"/>
      <c r="O242" s="148"/>
      <c r="P242" s="148"/>
      <c r="Q242" s="148"/>
    </row>
    <row r="243" spans="1:17" s="146" customFormat="1" ht="36" x14ac:dyDescent="0.25">
      <c r="A243" s="127">
        <v>236</v>
      </c>
      <c r="B243" s="60" t="s">
        <v>518</v>
      </c>
      <c r="C243" s="10" t="str">
        <f>"POŠTA-2017"</f>
        <v>POŠTA-2017</v>
      </c>
      <c r="D243" s="56">
        <v>42479</v>
      </c>
      <c r="E243" s="56">
        <v>43155</v>
      </c>
      <c r="F243" s="8">
        <v>17529.580000000002</v>
      </c>
      <c r="G243" s="46">
        <v>17562.259999999998</v>
      </c>
      <c r="H243" s="126" t="s">
        <v>1100</v>
      </c>
      <c r="I243" s="156" t="s">
        <v>1742</v>
      </c>
      <c r="J243" s="72"/>
      <c r="K243" s="145"/>
      <c r="M243" s="158"/>
      <c r="N243" s="148"/>
      <c r="O243" s="148"/>
      <c r="P243" s="148"/>
      <c r="Q243" s="148"/>
    </row>
    <row r="244" spans="1:17" s="146" customFormat="1" ht="24" x14ac:dyDescent="0.25">
      <c r="A244" s="127">
        <v>237</v>
      </c>
      <c r="B244" s="60" t="s">
        <v>658</v>
      </c>
      <c r="C244" s="10" t="str">
        <f>"030-01/16-03/9"</f>
        <v>030-01/16-03/9</v>
      </c>
      <c r="D244" s="56">
        <v>42479</v>
      </c>
      <c r="E244" s="56">
        <v>43155</v>
      </c>
      <c r="F244" s="8">
        <v>43264</v>
      </c>
      <c r="G244" s="46">
        <v>54080</v>
      </c>
      <c r="H244" s="126" t="s">
        <v>1100</v>
      </c>
      <c r="I244" s="156" t="s">
        <v>1743</v>
      </c>
      <c r="J244" s="72"/>
      <c r="K244" s="145"/>
      <c r="M244" s="158"/>
      <c r="N244" s="148"/>
      <c r="O244" s="148"/>
      <c r="P244" s="148"/>
      <c r="Q244" s="148"/>
    </row>
    <row r="245" spans="1:17" s="146" customFormat="1" ht="24" x14ac:dyDescent="0.25">
      <c r="A245" s="127">
        <v>238</v>
      </c>
      <c r="B245" s="60" t="s">
        <v>657</v>
      </c>
      <c r="C245" s="10" t="str">
        <f>"DP-02/9/2-007540/16"</f>
        <v>DP-02/9/2-007540/16</v>
      </c>
      <c r="D245" s="56">
        <v>42479</v>
      </c>
      <c r="E245" s="56">
        <v>43155</v>
      </c>
      <c r="F245" s="8">
        <v>138055.01</v>
      </c>
      <c r="G245" s="46">
        <v>172568.76</v>
      </c>
      <c r="H245" s="126" t="s">
        <v>1100</v>
      </c>
      <c r="I245" s="156" t="s">
        <v>1744</v>
      </c>
      <c r="J245" s="72"/>
      <c r="K245" s="145"/>
      <c r="M245" s="158"/>
      <c r="N245" s="148"/>
      <c r="O245" s="148"/>
      <c r="P245" s="148"/>
      <c r="Q245" s="148"/>
    </row>
    <row r="246" spans="1:17" s="146" customFormat="1" ht="48" x14ac:dyDescent="0.25">
      <c r="A246" s="127">
        <v>239</v>
      </c>
      <c r="B246" s="60" t="s">
        <v>470</v>
      </c>
      <c r="C246" s="10" t="str">
        <f>"DP-02/9/1-005742/16"</f>
        <v>DP-02/9/1-005742/16</v>
      </c>
      <c r="D246" s="56">
        <v>42475</v>
      </c>
      <c r="E246" s="56">
        <v>43155</v>
      </c>
      <c r="F246" s="8">
        <v>5439.55</v>
      </c>
      <c r="G246" s="46">
        <v>5439.55</v>
      </c>
      <c r="H246" s="126" t="s">
        <v>1100</v>
      </c>
      <c r="I246" s="156" t="s">
        <v>1745</v>
      </c>
      <c r="J246" s="72"/>
      <c r="K246" s="145"/>
      <c r="M246" s="158"/>
      <c r="N246" s="148"/>
      <c r="O246" s="148"/>
      <c r="P246" s="148"/>
      <c r="Q246" s="148"/>
    </row>
    <row r="247" spans="1:17" s="146" customFormat="1" ht="24" x14ac:dyDescent="0.25">
      <c r="A247" s="127">
        <v>240</v>
      </c>
      <c r="B247" s="60" t="s">
        <v>798</v>
      </c>
      <c r="C247" s="10" t="str">
        <f>"DP-02/9/3-8330/16"</f>
        <v>DP-02/9/3-8330/16</v>
      </c>
      <c r="D247" s="56">
        <v>42559</v>
      </c>
      <c r="E247" s="56">
        <v>43155</v>
      </c>
      <c r="F247" s="8">
        <v>143349.20000000001</v>
      </c>
      <c r="G247" s="46">
        <v>179186.5</v>
      </c>
      <c r="H247" s="126" t="s">
        <v>1100</v>
      </c>
      <c r="I247" s="156" t="s">
        <v>1746</v>
      </c>
      <c r="J247" s="72"/>
      <c r="K247" s="145"/>
      <c r="M247" s="158"/>
      <c r="N247" s="148"/>
      <c r="O247" s="148"/>
      <c r="P247" s="148"/>
      <c r="Q247" s="148"/>
    </row>
    <row r="248" spans="1:17" s="146" customFormat="1" ht="24" x14ac:dyDescent="0.25">
      <c r="A248" s="127">
        <v>241</v>
      </c>
      <c r="B248" s="60" t="s">
        <v>486</v>
      </c>
      <c r="C248" s="10" t="str">
        <f>"01-93/2-16"</f>
        <v>01-93/2-16</v>
      </c>
      <c r="D248" s="56">
        <v>42475</v>
      </c>
      <c r="E248" s="56">
        <v>43155</v>
      </c>
      <c r="F248" s="8">
        <v>25265.62</v>
      </c>
      <c r="G248" s="46">
        <v>25337.62</v>
      </c>
      <c r="H248" s="126" t="s">
        <v>1100</v>
      </c>
      <c r="I248" s="156" t="s">
        <v>1747</v>
      </c>
      <c r="J248" s="72"/>
      <c r="K248" s="145"/>
      <c r="M248" s="158"/>
      <c r="N248" s="148"/>
      <c r="O248" s="148"/>
      <c r="P248" s="148"/>
      <c r="Q248" s="148"/>
    </row>
    <row r="249" spans="1:17" s="146" customFormat="1" ht="24" x14ac:dyDescent="0.25">
      <c r="A249" s="127">
        <v>242</v>
      </c>
      <c r="B249" s="60" t="s">
        <v>665</v>
      </c>
      <c r="C249" s="10" t="str">
        <f>"DASB 1/2016"</f>
        <v>DASB 1/2016</v>
      </c>
      <c r="D249" s="56">
        <v>42475</v>
      </c>
      <c r="E249" s="56">
        <v>43155</v>
      </c>
      <c r="F249" s="8">
        <v>7908.85</v>
      </c>
      <c r="G249" s="46">
        <v>7940.95</v>
      </c>
      <c r="H249" s="126" t="s">
        <v>1100</v>
      </c>
      <c r="I249" s="156" t="s">
        <v>1748</v>
      </c>
      <c r="J249" s="72"/>
      <c r="K249" s="145"/>
      <c r="M249" s="158"/>
      <c r="N249" s="148"/>
      <c r="O249" s="148"/>
      <c r="P249" s="148"/>
      <c r="Q249" s="148"/>
    </row>
    <row r="250" spans="1:17" s="146" customFormat="1" ht="24" x14ac:dyDescent="0.25">
      <c r="A250" s="127">
        <v>243</v>
      </c>
      <c r="B250" s="60" t="s">
        <v>834</v>
      </c>
      <c r="C250" s="10" t="str">
        <f>"DP-02/9/5-8287/16"</f>
        <v>DP-02/9/5-8287/16</v>
      </c>
      <c r="D250" s="56">
        <v>42475</v>
      </c>
      <c r="E250" s="56">
        <v>43155</v>
      </c>
      <c r="F250" s="8">
        <v>17397.2</v>
      </c>
      <c r="G250" s="46">
        <v>17460.400000000001</v>
      </c>
      <c r="H250" s="126" t="s">
        <v>1100</v>
      </c>
      <c r="I250" s="156" t="s">
        <v>1749</v>
      </c>
      <c r="J250" s="71"/>
      <c r="K250" s="145"/>
      <c r="M250" s="158"/>
      <c r="N250" s="148"/>
      <c r="O250" s="148"/>
      <c r="P250" s="148"/>
      <c r="Q250" s="148"/>
    </row>
    <row r="251" spans="1:17" s="146" customFormat="1" x14ac:dyDescent="0.25">
      <c r="A251" s="127">
        <v>244</v>
      </c>
      <c r="B251" s="60" t="s">
        <v>17</v>
      </c>
      <c r="C251" s="10" t="str">
        <f>"6-DUSJN/16"</f>
        <v>6-DUSJN/16</v>
      </c>
      <c r="D251" s="56">
        <v>42474</v>
      </c>
      <c r="E251" s="56">
        <v>43204</v>
      </c>
      <c r="F251" s="8">
        <v>2662679.2000000002</v>
      </c>
      <c r="G251" s="46">
        <v>2662679.2000000002</v>
      </c>
      <c r="H251" s="126" t="s">
        <v>1100</v>
      </c>
      <c r="I251" s="156" t="s">
        <v>1750</v>
      </c>
      <c r="J251" s="71"/>
      <c r="K251" s="145"/>
      <c r="M251" s="158"/>
      <c r="N251" s="148"/>
      <c r="O251" s="148"/>
      <c r="P251" s="148"/>
      <c r="Q251" s="148"/>
    </row>
    <row r="252" spans="1:17" s="146" customFormat="1" ht="24" x14ac:dyDescent="0.25">
      <c r="A252" s="127">
        <v>245</v>
      </c>
      <c r="B252" s="60" t="s">
        <v>905</v>
      </c>
      <c r="C252" s="10" t="str">
        <f>"41-SU-141/14-1"</f>
        <v>41-SU-141/14-1</v>
      </c>
      <c r="D252" s="56">
        <v>42472</v>
      </c>
      <c r="E252" s="56">
        <v>43155</v>
      </c>
      <c r="F252" s="8">
        <v>145802.85999999999</v>
      </c>
      <c r="G252" s="46">
        <v>146038.06</v>
      </c>
      <c r="H252" s="126" t="s">
        <v>1100</v>
      </c>
      <c r="I252" s="156" t="s">
        <v>1751</v>
      </c>
      <c r="J252" s="71"/>
      <c r="K252" s="145"/>
      <c r="M252" s="158"/>
      <c r="N252" s="148"/>
      <c r="O252" s="148"/>
      <c r="P252" s="148"/>
      <c r="Q252" s="148"/>
    </row>
    <row r="253" spans="1:17" s="146" customFormat="1" ht="24" x14ac:dyDescent="0.25">
      <c r="A253" s="127">
        <v>246</v>
      </c>
      <c r="B253" s="60" t="s">
        <v>896</v>
      </c>
      <c r="C253" s="10" t="str">
        <f>"421-01/16-16/1"</f>
        <v>421-01/16-16/1</v>
      </c>
      <c r="D253" s="56">
        <v>42472</v>
      </c>
      <c r="E253" s="56">
        <v>43155</v>
      </c>
      <c r="F253" s="8">
        <v>85958.25</v>
      </c>
      <c r="G253" s="46">
        <v>107447.81</v>
      </c>
      <c r="H253" s="126" t="s">
        <v>1100</v>
      </c>
      <c r="I253" s="156" t="s">
        <v>1752</v>
      </c>
      <c r="J253" s="71"/>
      <c r="K253" s="145"/>
      <c r="M253" s="158"/>
      <c r="N253" s="148"/>
      <c r="O253" s="148"/>
      <c r="P253" s="148"/>
      <c r="Q253" s="148"/>
    </row>
    <row r="254" spans="1:17" s="146" customFormat="1" ht="24" x14ac:dyDescent="0.25">
      <c r="A254" s="127">
        <v>247</v>
      </c>
      <c r="B254" s="60" t="s">
        <v>778</v>
      </c>
      <c r="C254" s="10" t="str">
        <f>"DP-02/9/4-008447/16"</f>
        <v>DP-02/9/4-008447/16</v>
      </c>
      <c r="D254" s="56">
        <v>42563</v>
      </c>
      <c r="E254" s="56">
        <v>43155</v>
      </c>
      <c r="F254" s="8">
        <v>13221.96</v>
      </c>
      <c r="G254" s="46">
        <v>16527.45</v>
      </c>
      <c r="H254" s="126" t="s">
        <v>1100</v>
      </c>
      <c r="I254" s="156" t="s">
        <v>1753</v>
      </c>
      <c r="J254" s="71"/>
      <c r="K254" s="145"/>
      <c r="M254" s="158"/>
      <c r="N254" s="148"/>
      <c r="O254" s="148"/>
      <c r="P254" s="148"/>
      <c r="Q254" s="148"/>
    </row>
    <row r="255" spans="1:17" s="146" customFormat="1" ht="36" x14ac:dyDescent="0.25">
      <c r="A255" s="127">
        <v>248</v>
      </c>
      <c r="B255" s="60" t="s">
        <v>794</v>
      </c>
      <c r="C255" s="10" t="str">
        <f>"406-05/16-02/01"</f>
        <v>406-05/16-02/01</v>
      </c>
      <c r="D255" s="56">
        <v>42472</v>
      </c>
      <c r="E255" s="56">
        <v>43201</v>
      </c>
      <c r="F255" s="8">
        <v>7497.9</v>
      </c>
      <c r="G255" s="46">
        <v>9372.3799999999992</v>
      </c>
      <c r="H255" s="126" t="s">
        <v>1100</v>
      </c>
      <c r="I255" s="156" t="s">
        <v>1754</v>
      </c>
      <c r="J255" s="71"/>
      <c r="K255" s="145"/>
      <c r="M255" s="158"/>
      <c r="N255" s="148"/>
      <c r="O255" s="148"/>
      <c r="P255" s="148"/>
      <c r="Q255" s="148"/>
    </row>
    <row r="256" spans="1:17" s="146" customFormat="1" ht="24" x14ac:dyDescent="0.25">
      <c r="A256" s="127">
        <v>249</v>
      </c>
      <c r="B256" s="60" t="s">
        <v>778</v>
      </c>
      <c r="C256" s="10" t="str">
        <f>"O-15/2016"</f>
        <v>O-15/2016</v>
      </c>
      <c r="D256" s="56">
        <v>42472</v>
      </c>
      <c r="E256" s="56">
        <v>42837</v>
      </c>
      <c r="F256" s="8">
        <v>13221.96</v>
      </c>
      <c r="G256" s="46">
        <v>16527.45</v>
      </c>
      <c r="H256" s="126" t="s">
        <v>1102</v>
      </c>
      <c r="I256" s="156" t="s">
        <v>1755</v>
      </c>
      <c r="J256" s="71"/>
      <c r="K256" s="145"/>
      <c r="M256" s="158"/>
      <c r="N256" s="148"/>
      <c r="O256" s="148"/>
      <c r="P256" s="148"/>
      <c r="Q256" s="148"/>
    </row>
    <row r="257" spans="1:17" s="146" customFormat="1" ht="24" x14ac:dyDescent="0.25">
      <c r="A257" s="127">
        <v>250</v>
      </c>
      <c r="B257" s="60" t="s">
        <v>747</v>
      </c>
      <c r="C257" s="10" t="str">
        <f>"DP-02/9/2-7671/16"</f>
        <v>DP-02/9/2-7671/16</v>
      </c>
      <c r="D257" s="56">
        <v>42472</v>
      </c>
      <c r="E257" s="56">
        <v>43155</v>
      </c>
      <c r="F257" s="8">
        <v>43178.1</v>
      </c>
      <c r="G257" s="46">
        <v>43280.3</v>
      </c>
      <c r="H257" s="126" t="s">
        <v>1100</v>
      </c>
      <c r="I257" s="156" t="s">
        <v>1756</v>
      </c>
      <c r="J257" s="71"/>
      <c r="K257" s="145"/>
      <c r="M257" s="158"/>
      <c r="N257" s="148"/>
      <c r="O257" s="148"/>
      <c r="P257" s="148"/>
      <c r="Q257" s="148"/>
    </row>
    <row r="258" spans="1:17" s="146" customFormat="1" ht="24" x14ac:dyDescent="0.25">
      <c r="A258" s="127">
        <v>251</v>
      </c>
      <c r="B258" s="60" t="s">
        <v>881</v>
      </c>
      <c r="C258" s="10" t="str">
        <f>"DP-02/9/1-007793/16"</f>
        <v>DP-02/9/1-007793/16</v>
      </c>
      <c r="D258" s="56">
        <v>42472</v>
      </c>
      <c r="E258" s="56">
        <v>43155</v>
      </c>
      <c r="F258" s="8">
        <v>17564.400000000001</v>
      </c>
      <c r="G258" s="46">
        <v>17564.400000000001</v>
      </c>
      <c r="H258" s="126" t="s">
        <v>1100</v>
      </c>
      <c r="I258" s="156" t="s">
        <v>1757</v>
      </c>
      <c r="J258" s="71"/>
      <c r="K258" s="145"/>
      <c r="M258" s="158"/>
      <c r="N258" s="148"/>
      <c r="O258" s="148"/>
      <c r="P258" s="148"/>
      <c r="Q258" s="148"/>
    </row>
    <row r="259" spans="1:17" s="146" customFormat="1" ht="24" x14ac:dyDescent="0.25">
      <c r="A259" s="127">
        <v>252</v>
      </c>
      <c r="B259" s="60" t="s">
        <v>696</v>
      </c>
      <c r="C259" s="10" t="str">
        <f>"DP-02/9/1-006949/16"</f>
        <v>DP-02/9/1-006949/16</v>
      </c>
      <c r="D259" s="56">
        <v>42471</v>
      </c>
      <c r="E259" s="56">
        <v>43155</v>
      </c>
      <c r="F259" s="8">
        <v>2185187.2000000002</v>
      </c>
      <c r="G259" s="46">
        <v>2185187.2000000002</v>
      </c>
      <c r="H259" s="126" t="s">
        <v>1100</v>
      </c>
      <c r="I259" s="156" t="s">
        <v>1758</v>
      </c>
      <c r="J259" s="71"/>
      <c r="K259" s="145"/>
      <c r="M259" s="158"/>
      <c r="N259" s="148"/>
      <c r="O259" s="148"/>
      <c r="P259" s="148"/>
      <c r="Q259" s="148"/>
    </row>
    <row r="260" spans="1:17" s="146" customFormat="1" ht="24" x14ac:dyDescent="0.25">
      <c r="A260" s="127">
        <v>253</v>
      </c>
      <c r="B260" s="60" t="s">
        <v>185</v>
      </c>
      <c r="C260" s="10" t="str">
        <f>"15/2015-UGOVOR"</f>
        <v>15/2015-UGOVOR</v>
      </c>
      <c r="D260" s="56">
        <v>42471</v>
      </c>
      <c r="E260" s="56">
        <v>43155</v>
      </c>
      <c r="F260" s="8">
        <v>1235666.3999999999</v>
      </c>
      <c r="G260" s="46">
        <v>1237220.3</v>
      </c>
      <c r="H260" s="126" t="s">
        <v>1100</v>
      </c>
      <c r="I260" s="156" t="s">
        <v>1759</v>
      </c>
      <c r="J260" s="71"/>
      <c r="K260" s="145"/>
      <c r="M260" s="158"/>
      <c r="N260" s="148"/>
      <c r="O260" s="148"/>
      <c r="P260" s="148"/>
      <c r="Q260" s="148"/>
    </row>
    <row r="261" spans="1:17" s="146" customFormat="1" x14ac:dyDescent="0.25">
      <c r="A261" s="127">
        <v>254</v>
      </c>
      <c r="B261" s="60" t="s">
        <v>210</v>
      </c>
      <c r="C261" s="10" t="str">
        <f>"PU - A, B"</f>
        <v>PU - A, B</v>
      </c>
      <c r="D261" s="56">
        <v>42471</v>
      </c>
      <c r="E261" s="56">
        <v>42836</v>
      </c>
      <c r="F261" s="8">
        <v>34781782</v>
      </c>
      <c r="G261" s="46">
        <v>34781782</v>
      </c>
      <c r="H261" s="126" t="s">
        <v>1516</v>
      </c>
      <c r="I261" s="156" t="s">
        <v>1101</v>
      </c>
      <c r="J261" s="71"/>
      <c r="K261" s="145"/>
      <c r="M261" s="158"/>
      <c r="N261" s="148"/>
      <c r="O261" s="148"/>
      <c r="P261" s="148"/>
      <c r="Q261" s="148"/>
    </row>
    <row r="262" spans="1:17" s="146" customFormat="1" ht="24" x14ac:dyDescent="0.25">
      <c r="A262" s="127">
        <v>255</v>
      </c>
      <c r="B262" s="60" t="s">
        <v>879</v>
      </c>
      <c r="C262" s="10" t="str">
        <f>"DP-02/9/5-007222/16"</f>
        <v>DP-02/9/5-007222/16</v>
      </c>
      <c r="D262" s="56">
        <v>42471</v>
      </c>
      <c r="E262" s="56">
        <v>43155</v>
      </c>
      <c r="F262" s="8">
        <v>198477.4</v>
      </c>
      <c r="G262" s="46">
        <v>198477.4</v>
      </c>
      <c r="H262" s="126" t="s">
        <v>1100</v>
      </c>
      <c r="I262" s="156" t="s">
        <v>1760</v>
      </c>
      <c r="J262" s="71"/>
      <c r="K262" s="145"/>
      <c r="M262" s="158"/>
      <c r="N262" s="148"/>
      <c r="O262" s="148"/>
      <c r="P262" s="148"/>
      <c r="Q262" s="148"/>
    </row>
    <row r="263" spans="1:17" s="146" customFormat="1" ht="24" x14ac:dyDescent="0.25">
      <c r="A263" s="127">
        <v>256</v>
      </c>
      <c r="B263" s="60" t="s">
        <v>622</v>
      </c>
      <c r="C263" s="10" t="str">
        <f>"1"</f>
        <v>1</v>
      </c>
      <c r="D263" s="56">
        <v>42471</v>
      </c>
      <c r="E263" s="56">
        <v>43155</v>
      </c>
      <c r="F263" s="8">
        <v>526500</v>
      </c>
      <c r="G263" s="46">
        <v>658125</v>
      </c>
      <c r="H263" s="126" t="s">
        <v>1100</v>
      </c>
      <c r="I263" s="156" t="s">
        <v>1761</v>
      </c>
      <c r="J263" s="71"/>
      <c r="K263" s="145"/>
      <c r="M263" s="158"/>
      <c r="N263" s="148"/>
      <c r="O263" s="148"/>
      <c r="P263" s="148"/>
      <c r="Q263" s="148"/>
    </row>
    <row r="264" spans="1:17" s="146" customFormat="1" ht="36" x14ac:dyDescent="0.25">
      <c r="A264" s="127">
        <v>257</v>
      </c>
      <c r="B264" s="60" t="s">
        <v>815</v>
      </c>
      <c r="C264" s="10" t="str">
        <f>"16/2016"</f>
        <v>16/2016</v>
      </c>
      <c r="D264" s="56">
        <v>42838</v>
      </c>
      <c r="E264" s="56">
        <v>43155</v>
      </c>
      <c r="F264" s="8">
        <v>7151.28</v>
      </c>
      <c r="G264" s="46">
        <v>8939.1</v>
      </c>
      <c r="H264" s="126" t="s">
        <v>1100</v>
      </c>
      <c r="I264" s="156" t="s">
        <v>1762</v>
      </c>
      <c r="J264" s="71"/>
      <c r="K264" s="145"/>
      <c r="M264" s="158"/>
      <c r="N264" s="148"/>
      <c r="O264" s="148"/>
      <c r="P264" s="148"/>
      <c r="Q264" s="148"/>
    </row>
    <row r="265" spans="1:17" s="146" customFormat="1" ht="24" x14ac:dyDescent="0.25">
      <c r="A265" s="127">
        <v>258</v>
      </c>
      <c r="B265" s="60" t="s">
        <v>787</v>
      </c>
      <c r="C265" s="10" t="str">
        <f>"ZAP-15/2015"</f>
        <v>ZAP-15/2015</v>
      </c>
      <c r="D265" s="56">
        <v>42472</v>
      </c>
      <c r="E265" s="56">
        <v>43155</v>
      </c>
      <c r="F265" s="8">
        <v>170616.49</v>
      </c>
      <c r="G265" s="46">
        <v>170616.49</v>
      </c>
      <c r="H265" s="126" t="s">
        <v>1100</v>
      </c>
      <c r="I265" s="156" t="s">
        <v>1763</v>
      </c>
      <c r="J265" s="71"/>
      <c r="K265" s="145"/>
      <c r="M265" s="158"/>
      <c r="N265" s="148"/>
      <c r="O265" s="148"/>
      <c r="P265" s="148"/>
      <c r="Q265" s="148"/>
    </row>
    <row r="266" spans="1:17" s="146" customFormat="1" x14ac:dyDescent="0.25">
      <c r="A266" s="127">
        <v>259</v>
      </c>
      <c r="B266" s="60" t="s">
        <v>912</v>
      </c>
      <c r="C266" s="10" t="str">
        <f>"2-2016"</f>
        <v>2-2016</v>
      </c>
      <c r="D266" s="56">
        <v>42468</v>
      </c>
      <c r="E266" s="56">
        <v>43198</v>
      </c>
      <c r="F266" s="8">
        <v>307621.08</v>
      </c>
      <c r="G266" s="46">
        <v>307621.08</v>
      </c>
      <c r="H266" s="126" t="s">
        <v>1100</v>
      </c>
      <c r="I266" s="156" t="s">
        <v>1764</v>
      </c>
      <c r="J266" s="71"/>
      <c r="K266" s="145"/>
      <c r="M266" s="158"/>
      <c r="N266" s="148"/>
      <c r="O266" s="148"/>
      <c r="P266" s="148"/>
      <c r="Q266" s="148"/>
    </row>
    <row r="267" spans="1:17" s="146" customFormat="1" ht="24" x14ac:dyDescent="0.25">
      <c r="A267" s="127">
        <v>260</v>
      </c>
      <c r="B267" s="60" t="s">
        <v>502</v>
      </c>
      <c r="C267" s="10" t="str">
        <f>"DP-02/9/3-7685/16"</f>
        <v>DP-02/9/3-7685/16</v>
      </c>
      <c r="D267" s="56">
        <v>42468</v>
      </c>
      <c r="E267" s="56">
        <v>43155</v>
      </c>
      <c r="F267" s="8">
        <v>102231.5</v>
      </c>
      <c r="G267" s="46">
        <v>127789.38</v>
      </c>
      <c r="H267" s="126" t="s">
        <v>1517</v>
      </c>
      <c r="I267" s="156" t="s">
        <v>1765</v>
      </c>
      <c r="J267" s="71"/>
      <c r="K267" s="145"/>
      <c r="M267" s="158"/>
      <c r="N267" s="148"/>
      <c r="O267" s="148"/>
      <c r="P267" s="148"/>
      <c r="Q267" s="148"/>
    </row>
    <row r="268" spans="1:17" s="146" customFormat="1" ht="24" x14ac:dyDescent="0.25">
      <c r="A268" s="127">
        <v>261</v>
      </c>
      <c r="B268" s="60" t="s">
        <v>773</v>
      </c>
      <c r="C268" s="10" t="str">
        <f>"DP-02/9/4-007927/16"</f>
        <v>DP-02/9/4-007927/16</v>
      </c>
      <c r="D268" s="56">
        <v>42468</v>
      </c>
      <c r="E268" s="56">
        <v>43155</v>
      </c>
      <c r="F268" s="8">
        <v>7783.75</v>
      </c>
      <c r="G268" s="46">
        <v>7783.75</v>
      </c>
      <c r="H268" s="126" t="s">
        <v>1100</v>
      </c>
      <c r="I268" s="156" t="s">
        <v>1766</v>
      </c>
      <c r="J268" s="71"/>
      <c r="K268" s="145"/>
      <c r="M268" s="158"/>
      <c r="N268" s="148"/>
      <c r="O268" s="148"/>
      <c r="P268" s="148"/>
      <c r="Q268" s="148"/>
    </row>
    <row r="269" spans="1:17" s="146" customFormat="1" ht="24" x14ac:dyDescent="0.25">
      <c r="A269" s="127">
        <v>262</v>
      </c>
      <c r="B269" s="60" t="s">
        <v>827</v>
      </c>
      <c r="C269" s="10" t="str">
        <f>"DP-02/9/2-7842/16"</f>
        <v>DP-02/9/2-7842/16</v>
      </c>
      <c r="D269" s="56">
        <v>42468</v>
      </c>
      <c r="E269" s="56">
        <v>43155</v>
      </c>
      <c r="F269" s="8">
        <v>4403.3500000000004</v>
      </c>
      <c r="G269" s="46">
        <v>5504.19</v>
      </c>
      <c r="H269" s="126" t="s">
        <v>1100</v>
      </c>
      <c r="I269" s="156" t="s">
        <v>1767</v>
      </c>
      <c r="J269" s="71"/>
      <c r="K269" s="145"/>
      <c r="M269" s="158"/>
      <c r="N269" s="148"/>
      <c r="O269" s="148"/>
      <c r="P269" s="148"/>
      <c r="Q269" s="148"/>
    </row>
    <row r="270" spans="1:17" s="146" customFormat="1" ht="24" x14ac:dyDescent="0.25">
      <c r="A270" s="127">
        <v>263</v>
      </c>
      <c r="B270" s="60" t="s">
        <v>760</v>
      </c>
      <c r="C270" s="10" t="str">
        <f>"DP-02/9/4-007545/16"</f>
        <v>DP-02/9/4-007545/16</v>
      </c>
      <c r="D270" s="56">
        <v>42468</v>
      </c>
      <c r="E270" s="56">
        <v>43155</v>
      </c>
      <c r="F270" s="8">
        <v>14320.68</v>
      </c>
      <c r="G270" s="46">
        <v>14721.76</v>
      </c>
      <c r="H270" s="126" t="s">
        <v>1100</v>
      </c>
      <c r="I270" s="156" t="s">
        <v>1768</v>
      </c>
      <c r="J270" s="71"/>
      <c r="K270" s="145"/>
      <c r="M270" s="158"/>
      <c r="N270" s="148"/>
      <c r="O270" s="148"/>
      <c r="P270" s="148"/>
      <c r="Q270" s="148"/>
    </row>
    <row r="271" spans="1:17" s="146" customFormat="1" ht="24" x14ac:dyDescent="0.25">
      <c r="A271" s="127">
        <v>264</v>
      </c>
      <c r="B271" s="60" t="s">
        <v>892</v>
      </c>
      <c r="C271" s="10" t="str">
        <f>"DP-02/9/4-007036/16"</f>
        <v>DP-02/9/4-007036/16</v>
      </c>
      <c r="D271" s="56">
        <v>42467</v>
      </c>
      <c r="E271" s="56">
        <v>43197</v>
      </c>
      <c r="F271" s="8">
        <v>0</v>
      </c>
      <c r="G271" s="46">
        <v>0</v>
      </c>
      <c r="H271" s="126" t="s">
        <v>1100</v>
      </c>
      <c r="I271" s="156" t="s">
        <v>1769</v>
      </c>
      <c r="J271" s="72"/>
      <c r="K271" s="145"/>
      <c r="M271" s="158"/>
      <c r="N271" s="148"/>
      <c r="O271" s="148"/>
      <c r="P271" s="148"/>
      <c r="Q271" s="148"/>
    </row>
    <row r="272" spans="1:17" s="146" customFormat="1" ht="24" x14ac:dyDescent="0.25">
      <c r="A272" s="127">
        <v>265</v>
      </c>
      <c r="B272" s="60" t="s">
        <v>668</v>
      </c>
      <c r="C272" s="10" t="str">
        <f>"DP-02/9/2-6585/16"</f>
        <v>DP-02/9/2-6585/16</v>
      </c>
      <c r="D272" s="56">
        <v>42467</v>
      </c>
      <c r="E272" s="56">
        <v>43155</v>
      </c>
      <c r="F272" s="8">
        <v>2914729.8</v>
      </c>
      <c r="G272" s="46">
        <v>2916151.1</v>
      </c>
      <c r="H272" s="126" t="s">
        <v>1100</v>
      </c>
      <c r="I272" s="156" t="s">
        <v>1770</v>
      </c>
      <c r="J272" s="72"/>
      <c r="K272" s="145"/>
      <c r="M272" s="158"/>
      <c r="N272" s="148"/>
      <c r="O272" s="148"/>
      <c r="P272" s="148"/>
      <c r="Q272" s="148"/>
    </row>
    <row r="273" spans="1:17" s="146" customFormat="1" ht="24" x14ac:dyDescent="0.25">
      <c r="A273" s="127">
        <v>266</v>
      </c>
      <c r="B273" s="60" t="s">
        <v>676</v>
      </c>
      <c r="C273" s="10" t="str">
        <f>"DP-02/9/2-7118/16"</f>
        <v>DP-02/9/2-7118/16</v>
      </c>
      <c r="D273" s="56">
        <v>42466</v>
      </c>
      <c r="E273" s="56">
        <v>43155</v>
      </c>
      <c r="F273" s="8">
        <v>146043.88</v>
      </c>
      <c r="G273" s="46">
        <v>146269.25</v>
      </c>
      <c r="H273" s="126" t="s">
        <v>1100</v>
      </c>
      <c r="I273" s="156" t="s">
        <v>1771</v>
      </c>
      <c r="J273" s="72"/>
      <c r="K273" s="145"/>
      <c r="M273" s="158"/>
      <c r="N273" s="148"/>
      <c r="O273" s="148"/>
      <c r="P273" s="148"/>
      <c r="Q273" s="148"/>
    </row>
    <row r="274" spans="1:17" s="146" customFormat="1" ht="24" x14ac:dyDescent="0.25">
      <c r="A274" s="127">
        <v>267</v>
      </c>
      <c r="B274" s="60" t="s">
        <v>679</v>
      </c>
      <c r="C274" s="10" t="str">
        <f>"DP-02-032505"</f>
        <v>DP-02-032505</v>
      </c>
      <c r="D274" s="56">
        <v>42466</v>
      </c>
      <c r="E274" s="56">
        <v>43155</v>
      </c>
      <c r="F274" s="8">
        <v>136196.66</v>
      </c>
      <c r="G274" s="46">
        <v>136196.66</v>
      </c>
      <c r="H274" s="126" t="s">
        <v>1100</v>
      </c>
      <c r="I274" s="156" t="s">
        <v>1772</v>
      </c>
      <c r="J274" s="72"/>
      <c r="K274" s="145"/>
      <c r="M274" s="158"/>
      <c r="N274" s="148"/>
      <c r="O274" s="148"/>
      <c r="P274" s="148"/>
      <c r="Q274" s="148"/>
    </row>
    <row r="275" spans="1:17" s="146" customFormat="1" ht="24" x14ac:dyDescent="0.25">
      <c r="A275" s="127">
        <v>268</v>
      </c>
      <c r="B275" s="60" t="s">
        <v>855</v>
      </c>
      <c r="C275" s="10" t="str">
        <f>"DP-02/9/2-7329/16"</f>
        <v>DP-02/9/2-7329/16</v>
      </c>
      <c r="D275" s="56">
        <v>42465</v>
      </c>
      <c r="E275" s="56">
        <v>43155</v>
      </c>
      <c r="F275" s="8">
        <v>75093.2</v>
      </c>
      <c r="G275" s="46">
        <v>93866.5</v>
      </c>
      <c r="H275" s="126" t="s">
        <v>1100</v>
      </c>
      <c r="I275" s="156" t="s">
        <v>1773</v>
      </c>
      <c r="J275" s="72"/>
      <c r="K275" s="145"/>
      <c r="M275" s="158"/>
      <c r="N275" s="148"/>
      <c r="O275" s="148"/>
      <c r="P275" s="148"/>
      <c r="Q275" s="148"/>
    </row>
    <row r="276" spans="1:17" s="146" customFormat="1" ht="24" x14ac:dyDescent="0.25">
      <c r="A276" s="127">
        <v>269</v>
      </c>
      <c r="B276" s="60" t="s">
        <v>756</v>
      </c>
      <c r="C276" s="10" t="str">
        <f>"41-SU-127/16-2"</f>
        <v>41-SU-127/16-2</v>
      </c>
      <c r="D276" s="56">
        <v>42464</v>
      </c>
      <c r="E276" s="56">
        <v>43155</v>
      </c>
      <c r="F276" s="8">
        <v>1117537.45</v>
      </c>
      <c r="G276" s="46">
        <v>1117622.45</v>
      </c>
      <c r="H276" s="126" t="s">
        <v>1100</v>
      </c>
      <c r="I276" s="156" t="s">
        <v>1774</v>
      </c>
      <c r="J276" s="72"/>
      <c r="K276" s="145"/>
      <c r="M276" s="158"/>
      <c r="N276" s="148"/>
      <c r="O276" s="148"/>
      <c r="P276" s="148"/>
      <c r="Q276" s="148"/>
    </row>
    <row r="277" spans="1:17" s="146" customFormat="1" ht="24" x14ac:dyDescent="0.25">
      <c r="A277" s="127">
        <v>270</v>
      </c>
      <c r="B277" s="60" t="s">
        <v>672</v>
      </c>
      <c r="C277" s="10" t="str">
        <f>"DP-02/9/2-7554/16"</f>
        <v>DP-02/9/2-7554/16</v>
      </c>
      <c r="D277" s="56">
        <v>42464</v>
      </c>
      <c r="E277" s="56">
        <v>42828</v>
      </c>
      <c r="F277" s="8">
        <v>4486.7</v>
      </c>
      <c r="G277" s="46">
        <v>4486.7</v>
      </c>
      <c r="H277" s="126" t="s">
        <v>1504</v>
      </c>
      <c r="I277" s="156" t="s">
        <v>1775</v>
      </c>
      <c r="J277" s="72"/>
      <c r="K277" s="145"/>
      <c r="M277" s="158"/>
      <c r="N277" s="148"/>
      <c r="O277" s="148"/>
      <c r="P277" s="148"/>
      <c r="Q277" s="148"/>
    </row>
    <row r="278" spans="1:17" s="146" customFormat="1" ht="24" x14ac:dyDescent="0.25">
      <c r="A278" s="127">
        <v>271</v>
      </c>
      <c r="B278" s="60" t="s">
        <v>962</v>
      </c>
      <c r="C278" s="10" t="str">
        <f>"A-36/2016"</f>
        <v>A-36/2016</v>
      </c>
      <c r="D278" s="56">
        <v>42464</v>
      </c>
      <c r="E278" s="56">
        <v>43155</v>
      </c>
      <c r="F278" s="8">
        <v>82701.64</v>
      </c>
      <c r="G278" s="46">
        <v>103377.05</v>
      </c>
      <c r="H278" s="126" t="s">
        <v>1100</v>
      </c>
      <c r="I278" s="156" t="s">
        <v>1776</v>
      </c>
      <c r="J278" s="72"/>
      <c r="K278" s="145"/>
      <c r="M278" s="158"/>
      <c r="N278" s="148"/>
      <c r="O278" s="148"/>
      <c r="P278" s="148"/>
      <c r="Q278" s="148"/>
    </row>
    <row r="279" spans="1:17" s="146" customFormat="1" ht="24" x14ac:dyDescent="0.25">
      <c r="A279" s="127">
        <v>272</v>
      </c>
      <c r="B279" s="60" t="s">
        <v>808</v>
      </c>
      <c r="C279" s="10" t="str">
        <f>"DP-02/9/4-008014/16"</f>
        <v>DP-02/9/4-008014/16</v>
      </c>
      <c r="D279" s="56">
        <v>42464</v>
      </c>
      <c r="E279" s="56">
        <v>43155</v>
      </c>
      <c r="F279" s="8">
        <v>15265.86</v>
      </c>
      <c r="G279" s="46">
        <v>15265.86</v>
      </c>
      <c r="H279" s="126" t="s">
        <v>1100</v>
      </c>
      <c r="I279" s="156" t="s">
        <v>1777</v>
      </c>
      <c r="J279" s="72"/>
      <c r="K279" s="145"/>
      <c r="M279" s="158"/>
      <c r="N279" s="148"/>
      <c r="O279" s="148"/>
      <c r="P279" s="148"/>
      <c r="Q279" s="148"/>
    </row>
    <row r="280" spans="1:17" s="146" customFormat="1" ht="24" x14ac:dyDescent="0.25">
      <c r="A280" s="127">
        <v>273</v>
      </c>
      <c r="B280" s="60" t="s">
        <v>984</v>
      </c>
      <c r="C280" s="10" t="str">
        <f>"41-SU-120/16-2"</f>
        <v>41-SU-120/16-2</v>
      </c>
      <c r="D280" s="56">
        <v>42461</v>
      </c>
      <c r="E280" s="56">
        <v>43155</v>
      </c>
      <c r="F280" s="8">
        <v>432460.96</v>
      </c>
      <c r="G280" s="46">
        <v>433039.7</v>
      </c>
      <c r="H280" s="126" t="s">
        <v>1100</v>
      </c>
      <c r="I280" s="156" t="s">
        <v>1778</v>
      </c>
      <c r="J280" s="72"/>
      <c r="K280" s="145"/>
      <c r="M280" s="158"/>
      <c r="N280" s="148"/>
      <c r="O280" s="148"/>
      <c r="P280" s="148"/>
      <c r="Q280" s="148"/>
    </row>
    <row r="281" spans="1:17" s="146" customFormat="1" ht="24" x14ac:dyDescent="0.25">
      <c r="A281" s="127">
        <v>274</v>
      </c>
      <c r="B281" s="60" t="s">
        <v>561</v>
      </c>
      <c r="C281" s="10" t="str">
        <f>"DP-02/9/3-7176/16"</f>
        <v>DP-02/9/3-7176/16</v>
      </c>
      <c r="D281" s="56">
        <v>42826</v>
      </c>
      <c r="E281" s="56">
        <v>43155</v>
      </c>
      <c r="F281" s="8">
        <v>10547139.08</v>
      </c>
      <c r="G281" s="46">
        <v>10550226.48</v>
      </c>
      <c r="H281" s="126" t="s">
        <v>1105</v>
      </c>
      <c r="I281" s="156" t="s">
        <v>1779</v>
      </c>
      <c r="J281" s="72"/>
      <c r="K281" s="145"/>
      <c r="M281" s="158"/>
      <c r="N281" s="148"/>
      <c r="O281" s="148"/>
      <c r="P281" s="148"/>
      <c r="Q281" s="148"/>
    </row>
    <row r="282" spans="1:17" s="146" customFormat="1" ht="24" x14ac:dyDescent="0.25">
      <c r="A282" s="127">
        <v>275</v>
      </c>
      <c r="B282" s="60" t="s">
        <v>558</v>
      </c>
      <c r="C282" s="10" t="str">
        <f>"DP-02/9/3-6507/16"</f>
        <v>DP-02/9/3-6507/16</v>
      </c>
      <c r="D282" s="56">
        <v>42459</v>
      </c>
      <c r="E282" s="56">
        <v>43155</v>
      </c>
      <c r="F282" s="8">
        <v>728186.2</v>
      </c>
      <c r="G282" s="46">
        <v>728938.68</v>
      </c>
      <c r="H282" s="126" t="s">
        <v>1100</v>
      </c>
      <c r="I282" s="156" t="s">
        <v>1780</v>
      </c>
      <c r="J282" s="72"/>
      <c r="K282" s="145"/>
      <c r="M282" s="158"/>
      <c r="N282" s="148"/>
      <c r="O282" s="148"/>
      <c r="P282" s="148"/>
      <c r="Q282" s="148"/>
    </row>
    <row r="283" spans="1:17" s="146" customFormat="1" ht="24" x14ac:dyDescent="0.25">
      <c r="A283" s="127">
        <v>276</v>
      </c>
      <c r="B283" s="60" t="s">
        <v>875</v>
      </c>
      <c r="C283" s="10" t="str">
        <f>"1-20163"</f>
        <v>1-20163</v>
      </c>
      <c r="D283" s="56">
        <v>42461</v>
      </c>
      <c r="E283" s="56">
        <v>43155</v>
      </c>
      <c r="F283" s="8">
        <v>162196.6</v>
      </c>
      <c r="G283" s="46">
        <v>202745.75</v>
      </c>
      <c r="H283" s="126" t="s">
        <v>1100</v>
      </c>
      <c r="I283" s="156" t="s">
        <v>1781</v>
      </c>
      <c r="J283" s="72"/>
      <c r="K283" s="145"/>
      <c r="M283" s="158"/>
      <c r="N283" s="148"/>
      <c r="O283" s="148"/>
      <c r="P283" s="148"/>
      <c r="Q283" s="148"/>
    </row>
    <row r="284" spans="1:17" s="146" customFormat="1" ht="24" x14ac:dyDescent="0.25">
      <c r="A284" s="127">
        <v>277</v>
      </c>
      <c r="B284" s="60" t="s">
        <v>588</v>
      </c>
      <c r="C284" s="10" t="str">
        <f>"DP-02/9/6-007945/16"</f>
        <v>DP-02/9/6-007945/16</v>
      </c>
      <c r="D284" s="56">
        <v>42461</v>
      </c>
      <c r="E284" s="56">
        <v>43155</v>
      </c>
      <c r="F284" s="8">
        <v>396138.74</v>
      </c>
      <c r="G284" s="46">
        <v>396138.74</v>
      </c>
      <c r="H284" s="126" t="s">
        <v>1100</v>
      </c>
      <c r="I284" s="156" t="s">
        <v>1782</v>
      </c>
      <c r="J284" s="72"/>
      <c r="K284" s="145"/>
      <c r="M284" s="158"/>
      <c r="N284" s="148"/>
      <c r="O284" s="148"/>
      <c r="P284" s="148"/>
      <c r="Q284" s="148"/>
    </row>
    <row r="285" spans="1:17" s="146" customFormat="1" ht="36" x14ac:dyDescent="0.25">
      <c r="A285" s="127">
        <v>278</v>
      </c>
      <c r="B285" s="60" t="s">
        <v>208</v>
      </c>
      <c r="C285" s="10" t="str">
        <f>"06/UZOP/2016"</f>
        <v>06/UZOP/2016</v>
      </c>
      <c r="D285" s="56">
        <v>42461</v>
      </c>
      <c r="E285" s="56">
        <v>43155</v>
      </c>
      <c r="F285" s="8">
        <v>0</v>
      </c>
      <c r="G285" s="46">
        <v>0</v>
      </c>
      <c r="H285" s="126" t="s">
        <v>1102</v>
      </c>
      <c r="I285" s="156" t="s">
        <v>1783</v>
      </c>
      <c r="J285" s="72"/>
      <c r="K285" s="145"/>
      <c r="M285" s="158"/>
      <c r="N285" s="148"/>
      <c r="O285" s="148"/>
      <c r="P285" s="148"/>
      <c r="Q285" s="148"/>
    </row>
    <row r="286" spans="1:17" s="146" customFormat="1" ht="24" x14ac:dyDescent="0.25">
      <c r="A286" s="127">
        <v>279</v>
      </c>
      <c r="B286" s="60" t="s">
        <v>477</v>
      </c>
      <c r="C286" s="10" t="str">
        <f>"003-01/16-01/12"</f>
        <v>003-01/16-01/12</v>
      </c>
      <c r="D286" s="56">
        <v>42461</v>
      </c>
      <c r="E286" s="56">
        <v>43155</v>
      </c>
      <c r="F286" s="8">
        <v>32725.48</v>
      </c>
      <c r="G286" s="46">
        <v>33543.620000000003</v>
      </c>
      <c r="H286" s="126" t="s">
        <v>1100</v>
      </c>
      <c r="I286" s="156" t="s">
        <v>1784</v>
      </c>
      <c r="J286" s="72"/>
      <c r="K286" s="145"/>
      <c r="M286" s="158"/>
      <c r="N286" s="148"/>
      <c r="O286" s="148"/>
      <c r="P286" s="148"/>
      <c r="Q286" s="148"/>
    </row>
    <row r="287" spans="1:17" s="146" customFormat="1" x14ac:dyDescent="0.25">
      <c r="A287" s="127">
        <v>280</v>
      </c>
      <c r="B287" s="60" t="s">
        <v>749</v>
      </c>
      <c r="C287" s="10" t="str">
        <f>"41 SU-133/16"</f>
        <v>41 SU-133/16</v>
      </c>
      <c r="D287" s="56">
        <v>42446</v>
      </c>
      <c r="E287" s="56">
        <v>43155</v>
      </c>
      <c r="F287" s="8">
        <v>576032.84</v>
      </c>
      <c r="G287" s="46">
        <v>576037.09</v>
      </c>
      <c r="H287" s="126" t="s">
        <v>1102</v>
      </c>
      <c r="I287" s="156" t="s">
        <v>1785</v>
      </c>
      <c r="J287" s="72"/>
      <c r="K287" s="145"/>
      <c r="M287" s="158"/>
      <c r="N287" s="148"/>
      <c r="O287" s="148"/>
      <c r="P287" s="148"/>
      <c r="Q287" s="148"/>
    </row>
    <row r="288" spans="1:17" s="146" customFormat="1" ht="24" x14ac:dyDescent="0.25">
      <c r="A288" s="127">
        <v>281</v>
      </c>
      <c r="B288" s="60" t="s">
        <v>654</v>
      </c>
      <c r="C288" s="10" t="str">
        <f>"DP-02/9/1-007038/16"</f>
        <v>DP-02/9/1-007038/16</v>
      </c>
      <c r="D288" s="56">
        <v>42458</v>
      </c>
      <c r="E288" s="56">
        <v>43155</v>
      </c>
      <c r="F288" s="8">
        <v>1078483</v>
      </c>
      <c r="G288" s="46">
        <v>1348103.75</v>
      </c>
      <c r="H288" s="126" t="s">
        <v>1100</v>
      </c>
      <c r="I288" s="156" t="s">
        <v>1786</v>
      </c>
      <c r="J288" s="72"/>
      <c r="K288" s="145"/>
      <c r="M288" s="158"/>
      <c r="N288" s="148"/>
      <c r="O288" s="148"/>
      <c r="P288" s="148"/>
      <c r="Q288" s="148"/>
    </row>
    <row r="289" spans="1:17" s="146" customFormat="1" ht="24" x14ac:dyDescent="0.25">
      <c r="A289" s="127">
        <v>282</v>
      </c>
      <c r="B289" s="60" t="s">
        <v>863</v>
      </c>
      <c r="C289" s="10" t="str">
        <f>"DP-02/9/5-006290/16"</f>
        <v>DP-02/9/5-006290/16</v>
      </c>
      <c r="D289" s="56">
        <v>42453</v>
      </c>
      <c r="E289" s="56">
        <v>42790</v>
      </c>
      <c r="F289" s="8">
        <v>85158.95</v>
      </c>
      <c r="G289" s="46">
        <v>106448.69</v>
      </c>
      <c r="H289" s="126" t="s">
        <v>1100</v>
      </c>
      <c r="I289" s="156" t="s">
        <v>1787</v>
      </c>
      <c r="J289" s="72"/>
      <c r="K289" s="145"/>
      <c r="M289" s="158"/>
      <c r="N289" s="148"/>
      <c r="O289" s="148"/>
      <c r="P289" s="148"/>
      <c r="Q289" s="148"/>
    </row>
    <row r="290" spans="1:17" s="146" customFormat="1" ht="24" x14ac:dyDescent="0.25">
      <c r="A290" s="127">
        <v>283</v>
      </c>
      <c r="B290" s="60" t="s">
        <v>735</v>
      </c>
      <c r="C290" s="10" t="str">
        <f>"DP-02/9/6-007944/16"</f>
        <v>DP-02/9/6-007944/16</v>
      </c>
      <c r="D290" s="56">
        <v>42461</v>
      </c>
      <c r="E290" s="56">
        <v>43155</v>
      </c>
      <c r="F290" s="8">
        <v>64666.7</v>
      </c>
      <c r="G290" s="46">
        <v>64666.7</v>
      </c>
      <c r="H290" s="126" t="s">
        <v>1100</v>
      </c>
      <c r="I290" s="156" t="s">
        <v>1788</v>
      </c>
      <c r="J290" s="72"/>
      <c r="K290" s="145"/>
      <c r="M290" s="158"/>
      <c r="N290" s="148"/>
      <c r="O290" s="148"/>
      <c r="P290" s="148"/>
      <c r="Q290" s="148"/>
    </row>
    <row r="291" spans="1:17" s="146" customFormat="1" ht="24" x14ac:dyDescent="0.25">
      <c r="A291" s="127">
        <v>284</v>
      </c>
      <c r="B291" s="60" t="s">
        <v>871</v>
      </c>
      <c r="C291" s="10" t="str">
        <f>"04/2016-02/2018"</f>
        <v>04/2016-02/2018</v>
      </c>
      <c r="D291" s="56">
        <v>42461</v>
      </c>
      <c r="E291" s="56">
        <v>43155</v>
      </c>
      <c r="F291" s="8">
        <v>157477.04999999999</v>
      </c>
      <c r="G291" s="46">
        <v>196846.31</v>
      </c>
      <c r="H291" s="126" t="s">
        <v>1100</v>
      </c>
      <c r="I291" s="156" t="s">
        <v>1789</v>
      </c>
      <c r="J291" s="72"/>
      <c r="K291" s="145"/>
      <c r="M291" s="158"/>
      <c r="N291" s="148"/>
      <c r="O291" s="148"/>
      <c r="P291" s="148"/>
      <c r="Q291" s="148"/>
    </row>
    <row r="292" spans="1:17" s="146" customFormat="1" ht="24" x14ac:dyDescent="0.25">
      <c r="A292" s="127">
        <v>285</v>
      </c>
      <c r="B292" s="60" t="s">
        <v>841</v>
      </c>
      <c r="C292" s="10" t="str">
        <f>"DP-02/9/2-007543/2016"</f>
        <v>DP-02/9/2-007543/2016</v>
      </c>
      <c r="D292" s="56">
        <v>42461</v>
      </c>
      <c r="E292" s="56">
        <v>43155</v>
      </c>
      <c r="F292" s="8">
        <v>31714.84</v>
      </c>
      <c r="G292" s="46">
        <v>39643.550000000003</v>
      </c>
      <c r="H292" s="126" t="s">
        <v>1100</v>
      </c>
      <c r="I292" s="156" t="s">
        <v>1790</v>
      </c>
      <c r="J292" s="72"/>
      <c r="K292" s="145"/>
      <c r="M292" s="158"/>
      <c r="N292" s="148"/>
      <c r="O292" s="148"/>
      <c r="P292" s="148"/>
      <c r="Q292" s="148"/>
    </row>
    <row r="293" spans="1:17" s="146" customFormat="1" ht="24" x14ac:dyDescent="0.25">
      <c r="A293" s="127">
        <v>286</v>
      </c>
      <c r="B293" s="60" t="s">
        <v>512</v>
      </c>
      <c r="C293" s="10" t="str">
        <f>"DP-02/9/2-005931/16"</f>
        <v>DP-02/9/2-005931/16</v>
      </c>
      <c r="D293" s="56">
        <v>42461</v>
      </c>
      <c r="E293" s="56">
        <v>43155</v>
      </c>
      <c r="F293" s="8">
        <v>1885730.72</v>
      </c>
      <c r="G293" s="46">
        <v>2357163.4</v>
      </c>
      <c r="H293" s="126" t="s">
        <v>1100</v>
      </c>
      <c r="I293" s="156" t="s">
        <v>1791</v>
      </c>
      <c r="J293" s="72"/>
      <c r="K293" s="145"/>
      <c r="M293" s="158"/>
      <c r="N293" s="148"/>
      <c r="O293" s="148"/>
      <c r="P293" s="148"/>
      <c r="Q293" s="148"/>
    </row>
    <row r="294" spans="1:17" s="146" customFormat="1" ht="24" x14ac:dyDescent="0.25">
      <c r="A294" s="127">
        <v>287</v>
      </c>
      <c r="B294" s="60" t="s">
        <v>628</v>
      </c>
      <c r="C294" s="10" t="str">
        <f>"DP-02/9/1-006917/16"</f>
        <v>DP-02/9/1-006917/16</v>
      </c>
      <c r="D294" s="56">
        <v>42461</v>
      </c>
      <c r="E294" s="56">
        <v>43191</v>
      </c>
      <c r="F294" s="8">
        <v>137971</v>
      </c>
      <c r="G294" s="46">
        <v>172463.75</v>
      </c>
      <c r="H294" s="126" t="s">
        <v>1100</v>
      </c>
      <c r="I294" s="156" t="s">
        <v>1792</v>
      </c>
      <c r="J294" s="72"/>
      <c r="K294" s="145"/>
      <c r="M294" s="158"/>
      <c r="N294" s="148"/>
      <c r="O294" s="148"/>
      <c r="P294" s="148"/>
      <c r="Q294" s="148"/>
    </row>
    <row r="295" spans="1:17" s="146" customFormat="1" ht="24" x14ac:dyDescent="0.25">
      <c r="A295" s="127">
        <v>288</v>
      </c>
      <c r="B295" s="60" t="s">
        <v>522</v>
      </c>
      <c r="C295" s="10" t="str">
        <f>"DP-02/9/6-006897/16"</f>
        <v>DP-02/9/6-006897/16</v>
      </c>
      <c r="D295" s="56">
        <v>42460</v>
      </c>
      <c r="E295" s="56">
        <v>43155</v>
      </c>
      <c r="F295" s="8">
        <v>95558</v>
      </c>
      <c r="G295" s="46">
        <v>119447.5</v>
      </c>
      <c r="H295" s="126" t="s">
        <v>1100</v>
      </c>
      <c r="I295" s="156" t="s">
        <v>1793</v>
      </c>
      <c r="J295" s="72"/>
      <c r="K295" s="145"/>
      <c r="M295" s="158"/>
      <c r="N295" s="148"/>
      <c r="O295" s="148"/>
      <c r="P295" s="148"/>
      <c r="Q295" s="148"/>
    </row>
    <row r="296" spans="1:17" s="146" customFormat="1" ht="24" x14ac:dyDescent="0.25">
      <c r="A296" s="127">
        <v>289</v>
      </c>
      <c r="B296" s="60" t="s">
        <v>705</v>
      </c>
      <c r="C296" s="10" t="str">
        <f>"17 SU-665/2016-2"</f>
        <v>17 SU-665/2016-2</v>
      </c>
      <c r="D296" s="56">
        <v>42461</v>
      </c>
      <c r="E296" s="56">
        <v>43155</v>
      </c>
      <c r="F296" s="8">
        <v>3049849.32</v>
      </c>
      <c r="G296" s="46">
        <v>3055096.44</v>
      </c>
      <c r="H296" s="126" t="s">
        <v>1100</v>
      </c>
      <c r="I296" s="156" t="s">
        <v>1794</v>
      </c>
      <c r="J296" s="72"/>
      <c r="K296" s="145"/>
      <c r="M296" s="158"/>
      <c r="N296" s="148"/>
      <c r="O296" s="148"/>
      <c r="P296" s="148"/>
      <c r="Q296" s="148"/>
    </row>
    <row r="297" spans="1:17" s="146" customFormat="1" ht="36" x14ac:dyDescent="0.25">
      <c r="A297" s="127">
        <v>290</v>
      </c>
      <c r="B297" s="60" t="s">
        <v>640</v>
      </c>
      <c r="C297" s="10" t="str">
        <f>"01-2016"</f>
        <v>01-2016</v>
      </c>
      <c r="D297" s="56">
        <v>42461</v>
      </c>
      <c r="E297" s="56">
        <v>43155</v>
      </c>
      <c r="F297" s="8">
        <v>19298.7</v>
      </c>
      <c r="G297" s="46">
        <v>19298.7</v>
      </c>
      <c r="H297" s="126" t="s">
        <v>1102</v>
      </c>
      <c r="I297" s="156" t="s">
        <v>1795</v>
      </c>
      <c r="J297" s="72"/>
      <c r="K297" s="145"/>
      <c r="M297" s="158"/>
      <c r="N297" s="148"/>
      <c r="O297" s="148"/>
      <c r="P297" s="148"/>
      <c r="Q297" s="148"/>
    </row>
    <row r="298" spans="1:17" s="146" customFormat="1" x14ac:dyDescent="0.25">
      <c r="A298" s="127">
        <v>291</v>
      </c>
      <c r="B298" s="60" t="s">
        <v>584</v>
      </c>
      <c r="C298" s="10" t="str">
        <f>"08/16"</f>
        <v>08/16</v>
      </c>
      <c r="D298" s="56">
        <v>42859</v>
      </c>
      <c r="E298" s="56">
        <v>43155</v>
      </c>
      <c r="F298" s="8">
        <v>8645.2999999999993</v>
      </c>
      <c r="G298" s="46">
        <v>8864.7999999999993</v>
      </c>
      <c r="H298" s="126" t="s">
        <v>1100</v>
      </c>
      <c r="I298" s="156" t="s">
        <v>1796</v>
      </c>
      <c r="J298" s="72"/>
      <c r="K298" s="145"/>
      <c r="M298" s="158"/>
      <c r="N298" s="148"/>
      <c r="O298" s="148"/>
      <c r="P298" s="148"/>
      <c r="Q298" s="148"/>
    </row>
    <row r="299" spans="1:17" s="146" customFormat="1" ht="24" x14ac:dyDescent="0.25">
      <c r="A299" s="127">
        <v>292</v>
      </c>
      <c r="B299" s="60" t="s">
        <v>553</v>
      </c>
      <c r="C299" s="10" t="str">
        <f>"DP-02/9/4-006736/16"</f>
        <v>DP-02/9/4-006736/16</v>
      </c>
      <c r="D299" s="56">
        <v>42461</v>
      </c>
      <c r="E299" s="56">
        <v>43155</v>
      </c>
      <c r="F299" s="8">
        <v>17078.919999999998</v>
      </c>
      <c r="G299" s="46">
        <v>17723.04</v>
      </c>
      <c r="H299" s="126" t="s">
        <v>1100</v>
      </c>
      <c r="I299" s="156" t="s">
        <v>1797</v>
      </c>
      <c r="J299" s="72"/>
      <c r="K299" s="145"/>
      <c r="M299" s="158"/>
      <c r="N299" s="148"/>
      <c r="O299" s="148"/>
      <c r="P299" s="148"/>
      <c r="Q299" s="148"/>
    </row>
    <row r="300" spans="1:17" s="146" customFormat="1" ht="24" x14ac:dyDescent="0.25">
      <c r="A300" s="127">
        <v>293</v>
      </c>
      <c r="B300" s="60" t="s">
        <v>550</v>
      </c>
      <c r="C300" s="10" t="str">
        <f>"DP-02/9/4-006752/16"</f>
        <v>DP-02/9/4-006752/16</v>
      </c>
      <c r="D300" s="56">
        <v>42481</v>
      </c>
      <c r="E300" s="56">
        <v>43155</v>
      </c>
      <c r="F300" s="8">
        <v>151876.5</v>
      </c>
      <c r="G300" s="46">
        <v>151882.5</v>
      </c>
      <c r="H300" s="126" t="s">
        <v>1100</v>
      </c>
      <c r="I300" s="156" t="s">
        <v>1798</v>
      </c>
      <c r="J300" s="72"/>
      <c r="K300" s="145"/>
      <c r="M300" s="158"/>
      <c r="N300" s="148"/>
      <c r="O300" s="148"/>
      <c r="P300" s="148"/>
      <c r="Q300" s="148"/>
    </row>
    <row r="301" spans="1:17" s="146" customFormat="1" ht="24" x14ac:dyDescent="0.25">
      <c r="A301" s="127">
        <v>294</v>
      </c>
      <c r="B301" s="60" t="s">
        <v>797</v>
      </c>
      <c r="C301" s="10" t="str">
        <f>"DP-02/9/3-6246/16"</f>
        <v>DP-02/9/3-6246/16</v>
      </c>
      <c r="D301" s="56">
        <v>42461</v>
      </c>
      <c r="E301" s="56">
        <v>43155</v>
      </c>
      <c r="F301" s="8">
        <v>58714.61</v>
      </c>
      <c r="G301" s="46">
        <v>58765.11</v>
      </c>
      <c r="H301" s="126" t="s">
        <v>1100</v>
      </c>
      <c r="I301" s="156" t="s">
        <v>1799</v>
      </c>
      <c r="J301" s="72"/>
      <c r="K301" s="145"/>
      <c r="M301" s="158"/>
      <c r="N301" s="148"/>
      <c r="O301" s="148"/>
      <c r="P301" s="148"/>
      <c r="Q301" s="148"/>
    </row>
    <row r="302" spans="1:17" s="146" customFormat="1" ht="24" x14ac:dyDescent="0.25">
      <c r="A302" s="127">
        <v>295</v>
      </c>
      <c r="B302" s="60" t="s">
        <v>495</v>
      </c>
      <c r="C302" s="10" t="str">
        <f>"DP-02/9/3-7090/16"</f>
        <v>DP-02/9/3-7090/16</v>
      </c>
      <c r="D302" s="56">
        <v>42461</v>
      </c>
      <c r="E302" s="56">
        <v>43155</v>
      </c>
      <c r="F302" s="8">
        <v>105992.57</v>
      </c>
      <c r="G302" s="46">
        <v>111023.2</v>
      </c>
      <c r="H302" s="126" t="s">
        <v>1100</v>
      </c>
      <c r="I302" s="156" t="s">
        <v>1800</v>
      </c>
      <c r="J302" s="72"/>
      <c r="K302" s="145"/>
      <c r="M302" s="158"/>
      <c r="N302" s="148"/>
      <c r="O302" s="148"/>
      <c r="P302" s="148"/>
      <c r="Q302" s="148"/>
    </row>
    <row r="303" spans="1:17" s="146" customFormat="1" ht="24" x14ac:dyDescent="0.25">
      <c r="A303" s="127">
        <v>296</v>
      </c>
      <c r="B303" s="60" t="s">
        <v>870</v>
      </c>
      <c r="C303" s="10" t="str">
        <f>"159-2016-TURNIĆ"</f>
        <v>159-2016-TURNIĆ</v>
      </c>
      <c r="D303" s="56">
        <v>42461</v>
      </c>
      <c r="E303" s="56">
        <v>43155</v>
      </c>
      <c r="F303" s="8">
        <v>5858.99</v>
      </c>
      <c r="G303" s="46">
        <v>5858.99</v>
      </c>
      <c r="H303" s="126" t="s">
        <v>1100</v>
      </c>
      <c r="I303" s="156" t="s">
        <v>1801</v>
      </c>
      <c r="J303" s="72"/>
      <c r="K303" s="145"/>
      <c r="M303" s="158"/>
      <c r="N303" s="148"/>
      <c r="O303" s="148"/>
      <c r="P303" s="148"/>
      <c r="Q303" s="148"/>
    </row>
    <row r="304" spans="1:17" s="146" customFormat="1" x14ac:dyDescent="0.25">
      <c r="A304" s="127">
        <v>297</v>
      </c>
      <c r="B304" s="60" t="s">
        <v>882</v>
      </c>
      <c r="C304" s="10" t="str">
        <f>"SU-180/15"</f>
        <v>SU-180/15</v>
      </c>
      <c r="D304" s="56">
        <v>42460</v>
      </c>
      <c r="E304" s="56">
        <v>43155</v>
      </c>
      <c r="F304" s="8">
        <v>171265.08</v>
      </c>
      <c r="G304" s="46">
        <v>171274.88</v>
      </c>
      <c r="H304" s="126" t="s">
        <v>1100</v>
      </c>
      <c r="I304" s="156" t="s">
        <v>1802</v>
      </c>
      <c r="J304" s="72"/>
      <c r="K304" s="145"/>
      <c r="M304" s="158"/>
      <c r="N304" s="148"/>
      <c r="O304" s="148"/>
      <c r="P304" s="148"/>
      <c r="Q304" s="148"/>
    </row>
    <row r="305" spans="1:17" s="146" customFormat="1" ht="24" x14ac:dyDescent="0.25">
      <c r="A305" s="127">
        <v>298</v>
      </c>
      <c r="B305" s="60" t="s">
        <v>851</v>
      </c>
      <c r="C305" s="10" t="str">
        <f>"HP-OKVIRNI SPOR."</f>
        <v>HP-OKVIRNI SPOR.</v>
      </c>
      <c r="D305" s="56">
        <v>42522</v>
      </c>
      <c r="E305" s="56">
        <v>43155</v>
      </c>
      <c r="F305" s="8">
        <v>0</v>
      </c>
      <c r="G305" s="46">
        <v>0</v>
      </c>
      <c r="H305" s="126" t="s">
        <v>1100</v>
      </c>
      <c r="I305" s="156" t="s">
        <v>1803</v>
      </c>
      <c r="J305" s="72"/>
      <c r="K305" s="145"/>
      <c r="M305" s="158"/>
      <c r="N305" s="148"/>
      <c r="O305" s="148"/>
      <c r="P305" s="148"/>
      <c r="Q305" s="148"/>
    </row>
    <row r="306" spans="1:17" s="146" customFormat="1" ht="24" x14ac:dyDescent="0.25">
      <c r="A306" s="127">
        <v>299</v>
      </c>
      <c r="B306" s="60" t="s">
        <v>701</v>
      </c>
      <c r="C306" s="10" t="str">
        <f>"DP-02/9/6-007934/16"</f>
        <v>DP-02/9/6-007934/16</v>
      </c>
      <c r="D306" s="56">
        <v>42461</v>
      </c>
      <c r="E306" s="56">
        <v>43155</v>
      </c>
      <c r="F306" s="8">
        <v>158365.70000000001</v>
      </c>
      <c r="G306" s="46">
        <v>158610.70000000001</v>
      </c>
      <c r="H306" s="126" t="s">
        <v>1100</v>
      </c>
      <c r="I306" s="156" t="s">
        <v>1804</v>
      </c>
      <c r="J306" s="72"/>
      <c r="K306" s="145"/>
      <c r="M306" s="158"/>
      <c r="N306" s="148"/>
      <c r="O306" s="148"/>
      <c r="P306" s="148"/>
      <c r="Q306" s="148"/>
    </row>
    <row r="307" spans="1:17" s="146" customFormat="1" ht="24" x14ac:dyDescent="0.25">
      <c r="A307" s="127">
        <v>300</v>
      </c>
      <c r="B307" s="60" t="s">
        <v>985</v>
      </c>
      <c r="C307" s="10" t="str">
        <f>"DP-02/9/6-006899/16"</f>
        <v>DP-02/9/6-006899/16</v>
      </c>
      <c r="D307" s="56">
        <v>42452</v>
      </c>
      <c r="E307" s="56">
        <v>43155</v>
      </c>
      <c r="F307" s="8">
        <v>29674.17</v>
      </c>
      <c r="G307" s="46">
        <v>37092.71</v>
      </c>
      <c r="H307" s="126" t="s">
        <v>1100</v>
      </c>
      <c r="I307" s="156" t="s">
        <v>1805</v>
      </c>
      <c r="J307" s="72"/>
      <c r="K307" s="145"/>
      <c r="M307" s="158"/>
      <c r="N307" s="148"/>
      <c r="O307" s="148"/>
      <c r="P307" s="148"/>
      <c r="Q307" s="148"/>
    </row>
    <row r="308" spans="1:17" s="146" customFormat="1" ht="24" x14ac:dyDescent="0.25">
      <c r="A308" s="127">
        <v>301</v>
      </c>
      <c r="B308" s="60" t="s">
        <v>524</v>
      </c>
      <c r="C308" s="10" t="str">
        <f>"404-01/16-01/8"</f>
        <v>404-01/16-01/8</v>
      </c>
      <c r="D308" s="56">
        <v>42452</v>
      </c>
      <c r="E308" s="56">
        <v>43155</v>
      </c>
      <c r="F308" s="8">
        <v>71337.37</v>
      </c>
      <c r="G308" s="46">
        <v>79925.070000000007</v>
      </c>
      <c r="H308" s="126" t="s">
        <v>1100</v>
      </c>
      <c r="I308" s="156" t="s">
        <v>1806</v>
      </c>
      <c r="J308" s="72"/>
      <c r="K308" s="145"/>
      <c r="M308" s="158"/>
      <c r="N308" s="148"/>
      <c r="O308" s="148"/>
      <c r="P308" s="148"/>
      <c r="Q308" s="148"/>
    </row>
    <row r="309" spans="1:17" s="146" customFormat="1" ht="24" x14ac:dyDescent="0.25">
      <c r="A309" s="127">
        <v>302</v>
      </c>
      <c r="B309" s="60" t="s">
        <v>713</v>
      </c>
      <c r="C309" s="10" t="str">
        <f>"DP-02/9/2-007792/16"</f>
        <v>DP-02/9/2-007792/16</v>
      </c>
      <c r="D309" s="56">
        <v>42461</v>
      </c>
      <c r="E309" s="56">
        <v>43155</v>
      </c>
      <c r="F309" s="8">
        <v>8368</v>
      </c>
      <c r="G309" s="46">
        <v>10460</v>
      </c>
      <c r="H309" s="126" t="s">
        <v>1100</v>
      </c>
      <c r="I309" s="156" t="s">
        <v>1807</v>
      </c>
      <c r="J309" s="72"/>
      <c r="K309" s="145"/>
      <c r="M309" s="158"/>
      <c r="N309" s="148"/>
      <c r="O309" s="148"/>
      <c r="P309" s="148"/>
      <c r="Q309" s="148"/>
    </row>
    <row r="310" spans="1:17" s="146" customFormat="1" ht="24" x14ac:dyDescent="0.25">
      <c r="A310" s="127">
        <v>303</v>
      </c>
      <c r="B310" s="60" t="s">
        <v>500</v>
      </c>
      <c r="C310" s="10" t="str">
        <f>"DP-02/9/6-006562/16"</f>
        <v>DP-02/9/6-006562/16</v>
      </c>
      <c r="D310" s="56">
        <v>42461</v>
      </c>
      <c r="E310" s="56">
        <v>43155</v>
      </c>
      <c r="F310" s="8">
        <v>19837.080000000002</v>
      </c>
      <c r="G310" s="46">
        <v>19902.66</v>
      </c>
      <c r="H310" s="126" t="s">
        <v>1100</v>
      </c>
      <c r="I310" s="156" t="s">
        <v>1808</v>
      </c>
      <c r="J310" s="72"/>
      <c r="K310" s="145"/>
      <c r="M310" s="158"/>
      <c r="N310" s="148"/>
      <c r="O310" s="148"/>
      <c r="P310" s="148"/>
      <c r="Q310" s="148"/>
    </row>
    <row r="311" spans="1:17" s="146" customFormat="1" ht="24" x14ac:dyDescent="0.25">
      <c r="A311" s="127">
        <v>304</v>
      </c>
      <c r="B311" s="60" t="s">
        <v>583</v>
      </c>
      <c r="C311" s="10" t="str">
        <f>"DP-02/9/3-7082/16-1"</f>
        <v>DP-02/9/3-7082/16-1</v>
      </c>
      <c r="D311" s="56">
        <v>42452</v>
      </c>
      <c r="E311" s="56">
        <v>43155</v>
      </c>
      <c r="F311" s="8">
        <v>7630.48</v>
      </c>
      <c r="G311" s="46">
        <v>7630.48</v>
      </c>
      <c r="H311" s="126" t="s">
        <v>1100</v>
      </c>
      <c r="I311" s="156" t="s">
        <v>1809</v>
      </c>
      <c r="J311" s="72"/>
      <c r="K311" s="145"/>
      <c r="M311" s="158"/>
      <c r="N311" s="148"/>
      <c r="O311" s="148"/>
      <c r="P311" s="148"/>
      <c r="Q311" s="148"/>
    </row>
    <row r="312" spans="1:17" s="146" customFormat="1" ht="24" x14ac:dyDescent="0.25">
      <c r="A312" s="127">
        <v>305</v>
      </c>
      <c r="B312" s="60" t="s">
        <v>652</v>
      </c>
      <c r="C312" s="10" t="str">
        <f>"DP-02/9/1-007040/16"</f>
        <v>DP-02/9/1-007040/16</v>
      </c>
      <c r="D312" s="56">
        <v>42460</v>
      </c>
      <c r="E312" s="56">
        <v>43155</v>
      </c>
      <c r="F312" s="8">
        <v>3632569.2</v>
      </c>
      <c r="G312" s="46">
        <v>3633904.2</v>
      </c>
      <c r="H312" s="126" t="s">
        <v>1100</v>
      </c>
      <c r="I312" s="156" t="s">
        <v>1810</v>
      </c>
      <c r="J312" s="72"/>
      <c r="K312" s="145"/>
      <c r="M312" s="158"/>
      <c r="N312" s="148"/>
      <c r="O312" s="148"/>
      <c r="P312" s="148"/>
      <c r="Q312" s="148"/>
    </row>
    <row r="313" spans="1:17" s="146" customFormat="1" ht="36" x14ac:dyDescent="0.25">
      <c r="A313" s="127">
        <v>306</v>
      </c>
      <c r="B313" s="60" t="s">
        <v>716</v>
      </c>
      <c r="C313" s="10" t="str">
        <f>"DP-02/9/1-007039/16"</f>
        <v>DP-02/9/1-007039/16</v>
      </c>
      <c r="D313" s="56">
        <v>42459</v>
      </c>
      <c r="E313" s="56">
        <v>43155</v>
      </c>
      <c r="F313" s="8">
        <v>363238</v>
      </c>
      <c r="G313" s="46">
        <v>363238</v>
      </c>
      <c r="H313" s="126" t="s">
        <v>1100</v>
      </c>
      <c r="I313" s="156" t="s">
        <v>1811</v>
      </c>
      <c r="J313" s="72"/>
      <c r="K313" s="145"/>
      <c r="M313" s="158"/>
      <c r="N313" s="148"/>
      <c r="O313" s="148"/>
      <c r="P313" s="148"/>
      <c r="Q313" s="148"/>
    </row>
    <row r="314" spans="1:17" s="146" customFormat="1" ht="24" x14ac:dyDescent="0.25">
      <c r="A314" s="127">
        <v>307</v>
      </c>
      <c r="B314" s="60" t="s">
        <v>525</v>
      </c>
      <c r="C314" s="10" t="str">
        <f>"07/16-DUSJN"</f>
        <v>07/16-DUSJN</v>
      </c>
      <c r="D314" s="56">
        <v>42460</v>
      </c>
      <c r="E314" s="56">
        <v>42825</v>
      </c>
      <c r="F314" s="8">
        <v>453000</v>
      </c>
      <c r="G314" s="46">
        <v>566250</v>
      </c>
      <c r="H314" s="126" t="s">
        <v>1103</v>
      </c>
      <c r="I314" s="156" t="s">
        <v>1812</v>
      </c>
      <c r="J314" s="72"/>
      <c r="K314" s="145"/>
      <c r="M314" s="158"/>
      <c r="N314" s="148"/>
      <c r="O314" s="148"/>
      <c r="P314" s="148"/>
      <c r="Q314" s="148"/>
    </row>
    <row r="315" spans="1:17" s="146" customFormat="1" x14ac:dyDescent="0.25">
      <c r="A315" s="127">
        <v>308</v>
      </c>
      <c r="B315" s="60" t="s">
        <v>655</v>
      </c>
      <c r="C315" s="10" t="str">
        <f>"41-SU-522/15"</f>
        <v>41-SU-522/15</v>
      </c>
      <c r="D315" s="56">
        <v>42461</v>
      </c>
      <c r="E315" s="56">
        <v>43155</v>
      </c>
      <c r="F315" s="8">
        <v>1222245.98</v>
      </c>
      <c r="G315" s="46">
        <v>1222842.2</v>
      </c>
      <c r="H315" s="126" t="s">
        <v>1100</v>
      </c>
      <c r="I315" s="156" t="s">
        <v>1813</v>
      </c>
      <c r="J315" s="72"/>
      <c r="K315" s="145"/>
      <c r="M315" s="158"/>
      <c r="N315" s="148"/>
      <c r="O315" s="148"/>
      <c r="P315" s="148"/>
      <c r="Q315" s="148"/>
    </row>
    <row r="316" spans="1:17" s="146" customFormat="1" ht="24" x14ac:dyDescent="0.25">
      <c r="A316" s="127">
        <v>309</v>
      </c>
      <c r="B316" s="60" t="s">
        <v>539</v>
      </c>
      <c r="C316" s="10" t="str">
        <f>"DP-02/9/6-007435/16"</f>
        <v>DP-02/9/6-007435/16</v>
      </c>
      <c r="D316" s="56">
        <v>42461</v>
      </c>
      <c r="E316" s="56">
        <v>43155</v>
      </c>
      <c r="F316" s="8">
        <v>7771253.3399999999</v>
      </c>
      <c r="G316" s="46">
        <v>7774187.4500000002</v>
      </c>
      <c r="H316" s="126" t="s">
        <v>1100</v>
      </c>
      <c r="I316" s="156" t="s">
        <v>1814</v>
      </c>
      <c r="J316" s="72"/>
      <c r="K316" s="145"/>
      <c r="M316" s="158"/>
      <c r="N316" s="148"/>
      <c r="O316" s="148"/>
      <c r="P316" s="148"/>
      <c r="Q316" s="148"/>
    </row>
    <row r="317" spans="1:17" s="146" customFormat="1" ht="24" x14ac:dyDescent="0.25">
      <c r="A317" s="127">
        <v>310</v>
      </c>
      <c r="B317" s="60" t="s">
        <v>530</v>
      </c>
      <c r="C317" s="10" t="str">
        <f>"DP-02/9/6-007433/16"</f>
        <v>DP-02/9/6-007433/16</v>
      </c>
      <c r="D317" s="56">
        <v>42454</v>
      </c>
      <c r="E317" s="56">
        <v>43155</v>
      </c>
      <c r="F317" s="8">
        <v>1203905.68</v>
      </c>
      <c r="G317" s="46">
        <v>1204089.7</v>
      </c>
      <c r="H317" s="126" t="s">
        <v>1100</v>
      </c>
      <c r="I317" s="156" t="s">
        <v>1815</v>
      </c>
      <c r="J317" s="72"/>
      <c r="K317" s="145"/>
      <c r="M317" s="158"/>
      <c r="N317" s="148"/>
      <c r="O317" s="148"/>
      <c r="P317" s="148"/>
      <c r="Q317" s="148"/>
    </row>
    <row r="318" spans="1:17" s="146" customFormat="1" ht="24" x14ac:dyDescent="0.25">
      <c r="A318" s="127">
        <v>311</v>
      </c>
      <c r="B318" s="60" t="s">
        <v>986</v>
      </c>
      <c r="C318" s="10" t="str">
        <f>"030-08/16-01/1"</f>
        <v>030-08/16-01/1</v>
      </c>
      <c r="D318" s="56">
        <v>42424</v>
      </c>
      <c r="E318" s="56">
        <v>43155</v>
      </c>
      <c r="F318" s="8">
        <v>28800</v>
      </c>
      <c r="G318" s="46">
        <v>36000</v>
      </c>
      <c r="H318" s="126" t="s">
        <v>1100</v>
      </c>
      <c r="I318" s="156" t="s">
        <v>1816</v>
      </c>
      <c r="J318" s="72"/>
      <c r="K318" s="145"/>
      <c r="M318" s="158"/>
      <c r="N318" s="148"/>
      <c r="O318" s="148"/>
      <c r="P318" s="148"/>
      <c r="Q318" s="148"/>
    </row>
    <row r="319" spans="1:17" s="146" customFormat="1" x14ac:dyDescent="0.25">
      <c r="A319" s="127">
        <v>312</v>
      </c>
      <c r="B319" s="60" t="s">
        <v>714</v>
      </c>
      <c r="C319" s="10" t="str">
        <f>"SU-73/16"</f>
        <v>SU-73/16</v>
      </c>
      <c r="D319" s="56">
        <v>42461</v>
      </c>
      <c r="E319" s="56">
        <v>43155</v>
      </c>
      <c r="F319" s="8">
        <v>129327647</v>
      </c>
      <c r="G319" s="46">
        <v>161659558.75</v>
      </c>
      <c r="H319" s="126" t="s">
        <v>1100</v>
      </c>
      <c r="I319" s="156" t="s">
        <v>1817</v>
      </c>
      <c r="J319" s="72"/>
      <c r="K319" s="145"/>
      <c r="M319" s="158"/>
      <c r="N319" s="148"/>
      <c r="O319" s="148"/>
      <c r="P319" s="148"/>
      <c r="Q319" s="148"/>
    </row>
    <row r="320" spans="1:17" s="146" customFormat="1" ht="24" x14ac:dyDescent="0.25">
      <c r="A320" s="127">
        <v>313</v>
      </c>
      <c r="B320" s="60" t="s">
        <v>571</v>
      </c>
      <c r="C320" s="10" t="str">
        <f>"DP-02/9/4-007246/16"</f>
        <v>DP-02/9/4-007246/16</v>
      </c>
      <c r="D320" s="56">
        <v>42461</v>
      </c>
      <c r="E320" s="56">
        <v>43155</v>
      </c>
      <c r="F320" s="8">
        <v>184669.06</v>
      </c>
      <c r="G320" s="46">
        <v>230836.33</v>
      </c>
      <c r="H320" s="126" t="s">
        <v>1100</v>
      </c>
      <c r="I320" s="156" t="s">
        <v>1818</v>
      </c>
      <c r="J320" s="72"/>
      <c r="K320" s="145"/>
      <c r="M320" s="158"/>
      <c r="N320" s="148"/>
      <c r="O320" s="148"/>
      <c r="P320" s="148"/>
      <c r="Q320" s="148"/>
    </row>
    <row r="321" spans="1:17" s="146" customFormat="1" ht="24" x14ac:dyDescent="0.25">
      <c r="A321" s="127">
        <v>314</v>
      </c>
      <c r="B321" s="60" t="s">
        <v>987</v>
      </c>
      <c r="C321" s="10" t="str">
        <f>"DP-02/9/2-006664/16"</f>
        <v>DP-02/9/2-006664/16</v>
      </c>
      <c r="D321" s="56">
        <v>42461</v>
      </c>
      <c r="E321" s="56">
        <v>43155</v>
      </c>
      <c r="F321" s="8">
        <v>349904.82</v>
      </c>
      <c r="G321" s="46">
        <v>349924.82</v>
      </c>
      <c r="H321" s="126" t="s">
        <v>1100</v>
      </c>
      <c r="I321" s="156" t="s">
        <v>1819</v>
      </c>
      <c r="J321" s="72"/>
      <c r="K321" s="145"/>
      <c r="M321" s="158"/>
      <c r="N321" s="148"/>
      <c r="O321" s="148"/>
      <c r="P321" s="148"/>
      <c r="Q321" s="148"/>
    </row>
    <row r="322" spans="1:17" s="146" customFormat="1" ht="24" x14ac:dyDescent="0.25">
      <c r="A322" s="127">
        <v>315</v>
      </c>
      <c r="B322" s="60" t="s">
        <v>611</v>
      </c>
      <c r="C322" s="10" t="str">
        <f>"SU-VII-32/2015"</f>
        <v>SU-VII-32/2015</v>
      </c>
      <c r="D322" s="56">
        <v>42461</v>
      </c>
      <c r="E322" s="56">
        <v>42793</v>
      </c>
      <c r="F322" s="8">
        <v>224782.78</v>
      </c>
      <c r="G322" s="46">
        <v>280978.48</v>
      </c>
      <c r="H322" s="126" t="s">
        <v>1507</v>
      </c>
      <c r="I322" s="156" t="s">
        <v>1820</v>
      </c>
      <c r="J322" s="72"/>
      <c r="K322" s="145"/>
      <c r="M322" s="158"/>
      <c r="N322" s="148"/>
      <c r="O322" s="148"/>
      <c r="P322" s="148"/>
      <c r="Q322" s="148"/>
    </row>
    <row r="323" spans="1:17" s="146" customFormat="1" ht="24" x14ac:dyDescent="0.25">
      <c r="A323" s="127">
        <v>316</v>
      </c>
      <c r="B323" s="60" t="s">
        <v>736</v>
      </c>
      <c r="C323" s="10" t="str">
        <f>"DP-02/9/2-007541/16"</f>
        <v>DP-02/9/2-007541/16</v>
      </c>
      <c r="D323" s="56">
        <v>42461</v>
      </c>
      <c r="E323" s="56">
        <v>43155</v>
      </c>
      <c r="F323" s="8">
        <v>0</v>
      </c>
      <c r="G323" s="46">
        <v>0</v>
      </c>
      <c r="H323" s="126" t="s">
        <v>1100</v>
      </c>
      <c r="I323" s="156" t="s">
        <v>1821</v>
      </c>
      <c r="J323" s="72"/>
      <c r="K323" s="145"/>
      <c r="M323" s="158"/>
      <c r="N323" s="148"/>
      <c r="O323" s="148"/>
      <c r="P323" s="148"/>
      <c r="Q323" s="148"/>
    </row>
    <row r="324" spans="1:17" s="146" customFormat="1" ht="24" x14ac:dyDescent="0.25">
      <c r="A324" s="127">
        <v>317</v>
      </c>
      <c r="B324" s="60" t="s">
        <v>514</v>
      </c>
      <c r="C324" s="10" t="str">
        <f>"DP-02/9/4-006959/16"</f>
        <v>DP-02/9/4-006959/16</v>
      </c>
      <c r="D324" s="56">
        <v>42459</v>
      </c>
      <c r="E324" s="56">
        <v>43155</v>
      </c>
      <c r="F324" s="8">
        <v>24696.53</v>
      </c>
      <c r="G324" s="46">
        <v>24696.53</v>
      </c>
      <c r="H324" s="126" t="s">
        <v>1100</v>
      </c>
      <c r="I324" s="156" t="s">
        <v>1822</v>
      </c>
      <c r="J324" s="72"/>
      <c r="K324" s="145"/>
      <c r="M324" s="158"/>
      <c r="N324" s="148"/>
      <c r="O324" s="148"/>
      <c r="P324" s="148"/>
      <c r="Q324" s="148"/>
    </row>
    <row r="325" spans="1:17" s="146" customFormat="1" ht="24" x14ac:dyDescent="0.25">
      <c r="A325" s="127">
        <v>318</v>
      </c>
      <c r="B325" s="60" t="s">
        <v>567</v>
      </c>
      <c r="C325" s="10" t="str">
        <f>"032505/15"</f>
        <v>032505/15</v>
      </c>
      <c r="D325" s="56">
        <v>42808</v>
      </c>
      <c r="E325" s="56">
        <v>43155</v>
      </c>
      <c r="F325" s="8">
        <v>166070940</v>
      </c>
      <c r="G325" s="46">
        <v>166070940</v>
      </c>
      <c r="H325" s="126" t="s">
        <v>1100</v>
      </c>
      <c r="I325" s="156" t="s">
        <v>1823</v>
      </c>
      <c r="J325" s="72"/>
      <c r="K325" s="145"/>
      <c r="M325" s="158"/>
      <c r="N325" s="148"/>
      <c r="O325" s="148"/>
      <c r="P325" s="148"/>
      <c r="Q325" s="148"/>
    </row>
    <row r="326" spans="1:17" s="146" customFormat="1" ht="48" x14ac:dyDescent="0.25">
      <c r="A326" s="127">
        <v>319</v>
      </c>
      <c r="B326" s="60" t="s">
        <v>904</v>
      </c>
      <c r="C326" s="10" t="str">
        <f>"47-2016"</f>
        <v>47-2016</v>
      </c>
      <c r="D326" s="56">
        <v>42461</v>
      </c>
      <c r="E326" s="56">
        <v>43155</v>
      </c>
      <c r="F326" s="8">
        <v>36047.96</v>
      </c>
      <c r="G326" s="46">
        <v>43001.85</v>
      </c>
      <c r="H326" s="126" t="s">
        <v>1100</v>
      </c>
      <c r="I326" s="156" t="s">
        <v>1824</v>
      </c>
      <c r="J326" s="72"/>
      <c r="K326" s="145"/>
      <c r="M326" s="158"/>
      <c r="N326" s="148"/>
      <c r="O326" s="148"/>
      <c r="P326" s="148"/>
      <c r="Q326" s="148"/>
    </row>
    <row r="327" spans="1:17" s="146" customFormat="1" ht="24" x14ac:dyDescent="0.25">
      <c r="A327" s="127">
        <v>320</v>
      </c>
      <c r="B327" s="60" t="s">
        <v>838</v>
      </c>
      <c r="C327" s="10" t="str">
        <f>"DP-02/9/6-006695/16"</f>
        <v>DP-02/9/6-006695/16</v>
      </c>
      <c r="D327" s="56">
        <v>42454</v>
      </c>
      <c r="E327" s="56">
        <v>43155</v>
      </c>
      <c r="F327" s="8">
        <v>24823</v>
      </c>
      <c r="G327" s="46">
        <v>31028.75</v>
      </c>
      <c r="H327" s="126" t="s">
        <v>1100</v>
      </c>
      <c r="I327" s="156" t="s">
        <v>1825</v>
      </c>
      <c r="J327" s="72"/>
      <c r="K327" s="145"/>
      <c r="M327" s="158"/>
      <c r="N327" s="148"/>
      <c r="O327" s="148"/>
      <c r="P327" s="148"/>
      <c r="Q327" s="148"/>
    </row>
    <row r="328" spans="1:17" s="146" customFormat="1" ht="24" x14ac:dyDescent="0.25">
      <c r="A328" s="127">
        <v>321</v>
      </c>
      <c r="B328" s="60" t="s">
        <v>614</v>
      </c>
      <c r="C328" s="10" t="str">
        <f>"DP-02/9/2-006539/16"</f>
        <v>DP-02/9/2-006539/16</v>
      </c>
      <c r="D328" s="56">
        <v>42459</v>
      </c>
      <c r="E328" s="56">
        <v>43155</v>
      </c>
      <c r="F328" s="8">
        <v>124835.9</v>
      </c>
      <c r="G328" s="46">
        <v>124858.7</v>
      </c>
      <c r="H328" s="126" t="s">
        <v>1100</v>
      </c>
      <c r="I328" s="156" t="s">
        <v>1826</v>
      </c>
      <c r="J328" s="72"/>
      <c r="K328" s="145"/>
      <c r="M328" s="158"/>
      <c r="N328" s="148"/>
      <c r="O328" s="148"/>
      <c r="P328" s="148"/>
      <c r="Q328" s="148"/>
    </row>
    <row r="329" spans="1:17" s="146" customFormat="1" ht="24" x14ac:dyDescent="0.25">
      <c r="A329" s="127">
        <v>322</v>
      </c>
      <c r="B329" s="60" t="s">
        <v>809</v>
      </c>
      <c r="C329" s="10" t="str">
        <f>"02/9/1-006918/16"</f>
        <v>02/9/1-006918/16</v>
      </c>
      <c r="D329" s="56">
        <v>42459</v>
      </c>
      <c r="E329" s="56">
        <v>43191</v>
      </c>
      <c r="F329" s="8">
        <v>23506</v>
      </c>
      <c r="G329" s="46">
        <v>23530.5</v>
      </c>
      <c r="H329" s="126" t="s">
        <v>1100</v>
      </c>
      <c r="I329" s="156" t="s">
        <v>1827</v>
      </c>
      <c r="J329" s="72"/>
      <c r="K329" s="145"/>
      <c r="M329" s="158"/>
      <c r="N329" s="148"/>
      <c r="O329" s="148"/>
      <c r="P329" s="148"/>
      <c r="Q329" s="148"/>
    </row>
    <row r="330" spans="1:17" s="146" customFormat="1" ht="24" x14ac:dyDescent="0.25">
      <c r="A330" s="127">
        <v>323</v>
      </c>
      <c r="B330" s="60" t="s">
        <v>847</v>
      </c>
      <c r="C330" s="10" t="str">
        <f>"DP-02/9/5-007223/16"</f>
        <v>DP-02/9/5-007223/16</v>
      </c>
      <c r="D330" s="56">
        <v>42461</v>
      </c>
      <c r="E330" s="56">
        <v>43155</v>
      </c>
      <c r="F330" s="8">
        <v>194227.14</v>
      </c>
      <c r="G330" s="46">
        <v>194227.14</v>
      </c>
      <c r="H330" s="126" t="s">
        <v>1100</v>
      </c>
      <c r="I330" s="156" t="s">
        <v>1828</v>
      </c>
      <c r="J330" s="72"/>
      <c r="K330" s="145"/>
      <c r="M330" s="158"/>
      <c r="N330" s="148"/>
      <c r="O330" s="148"/>
      <c r="P330" s="148"/>
      <c r="Q330" s="148"/>
    </row>
    <row r="331" spans="1:17" s="146" customFormat="1" x14ac:dyDescent="0.25">
      <c r="A331" s="127">
        <v>324</v>
      </c>
      <c r="B331" s="60" t="s">
        <v>952</v>
      </c>
      <c r="C331" s="10" t="str">
        <f>"41-SU-271/16"</f>
        <v>41-SU-271/16</v>
      </c>
      <c r="D331" s="56">
        <v>42460</v>
      </c>
      <c r="E331" s="56">
        <v>43155</v>
      </c>
      <c r="F331" s="8">
        <v>858202.7</v>
      </c>
      <c r="G331" s="46">
        <v>858202.7</v>
      </c>
      <c r="H331" s="126" t="s">
        <v>1100</v>
      </c>
      <c r="I331" s="156" t="s">
        <v>1829</v>
      </c>
      <c r="J331" s="72"/>
      <c r="K331" s="145"/>
      <c r="M331" s="158"/>
      <c r="N331" s="148"/>
      <c r="O331" s="148"/>
      <c r="P331" s="148"/>
      <c r="Q331" s="148"/>
    </row>
    <row r="332" spans="1:17" s="146" customFormat="1" ht="24" x14ac:dyDescent="0.25">
      <c r="A332" s="127">
        <v>325</v>
      </c>
      <c r="B332" s="60" t="s">
        <v>626</v>
      </c>
      <c r="C332" s="10" t="str">
        <f>"DP-02/9/6-006700/16"</f>
        <v>DP-02/9/6-006700/16</v>
      </c>
      <c r="D332" s="56">
        <v>42454</v>
      </c>
      <c r="E332" s="56">
        <v>43191</v>
      </c>
      <c r="F332" s="8">
        <v>44632.4</v>
      </c>
      <c r="G332" s="46">
        <v>55790.5</v>
      </c>
      <c r="H332" s="126" t="s">
        <v>1100</v>
      </c>
      <c r="I332" s="156" t="s">
        <v>1830</v>
      </c>
      <c r="J332" s="72"/>
      <c r="K332" s="145"/>
      <c r="M332" s="158"/>
      <c r="N332" s="148"/>
      <c r="O332" s="148"/>
      <c r="P332" s="148"/>
      <c r="Q332" s="148"/>
    </row>
    <row r="333" spans="1:17" s="146" customFormat="1" x14ac:dyDescent="0.25">
      <c r="A333" s="127">
        <v>326</v>
      </c>
      <c r="B333" s="60" t="s">
        <v>586</v>
      </c>
      <c r="C333" s="10" t="str">
        <f>"SU-212/16"</f>
        <v>SU-212/16</v>
      </c>
      <c r="D333" s="56">
        <v>42461</v>
      </c>
      <c r="E333" s="56">
        <v>43132</v>
      </c>
      <c r="F333" s="8">
        <v>325247.42</v>
      </c>
      <c r="G333" s="46">
        <v>328232.76</v>
      </c>
      <c r="H333" s="126" t="s">
        <v>1100</v>
      </c>
      <c r="I333" s="156" t="s">
        <v>1831</v>
      </c>
      <c r="J333" s="72"/>
      <c r="K333" s="145"/>
      <c r="M333" s="158"/>
      <c r="N333" s="148"/>
      <c r="O333" s="148"/>
      <c r="P333" s="148"/>
      <c r="Q333" s="148"/>
    </row>
    <row r="334" spans="1:17" s="146" customFormat="1" ht="24" x14ac:dyDescent="0.25">
      <c r="A334" s="127">
        <v>327</v>
      </c>
      <c r="B334" s="60" t="s">
        <v>515</v>
      </c>
      <c r="C334" s="10" t="str">
        <f>"DP-02/9/6-006549/16"</f>
        <v>DP-02/9/6-006549/16</v>
      </c>
      <c r="D334" s="56">
        <v>42445</v>
      </c>
      <c r="E334" s="56">
        <v>43155</v>
      </c>
      <c r="F334" s="8">
        <v>9992.6200000000008</v>
      </c>
      <c r="G334" s="46">
        <v>10000.620000000001</v>
      </c>
      <c r="H334" s="126" t="s">
        <v>1102</v>
      </c>
      <c r="I334" s="156" t="s">
        <v>1832</v>
      </c>
      <c r="J334" s="72"/>
      <c r="K334" s="145"/>
      <c r="M334" s="158"/>
      <c r="N334" s="148"/>
      <c r="O334" s="148"/>
      <c r="P334" s="148"/>
      <c r="Q334" s="148"/>
    </row>
    <row r="335" spans="1:17" s="146" customFormat="1" ht="24" x14ac:dyDescent="0.25">
      <c r="A335" s="127">
        <v>328</v>
      </c>
      <c r="B335" s="60" t="s">
        <v>625</v>
      </c>
      <c r="C335" s="10" t="str">
        <f>"DP-02/9/6-006698/16"</f>
        <v>DP-02/9/6-006698/16</v>
      </c>
      <c r="D335" s="56">
        <v>42452</v>
      </c>
      <c r="E335" s="56">
        <v>43155</v>
      </c>
      <c r="F335" s="8">
        <v>377593.74</v>
      </c>
      <c r="G335" s="46">
        <v>377684.38</v>
      </c>
      <c r="H335" s="126" t="s">
        <v>1100</v>
      </c>
      <c r="I335" s="156" t="s">
        <v>1833</v>
      </c>
      <c r="J335" s="72"/>
      <c r="K335" s="145"/>
      <c r="M335" s="158"/>
      <c r="N335" s="148"/>
      <c r="O335" s="148"/>
      <c r="P335" s="148"/>
      <c r="Q335" s="148"/>
    </row>
    <row r="336" spans="1:17" s="146" customFormat="1" ht="24" x14ac:dyDescent="0.25">
      <c r="A336" s="127">
        <v>329</v>
      </c>
      <c r="B336" s="60" t="s">
        <v>680</v>
      </c>
      <c r="C336" s="10" t="str">
        <f>"DP-02/9/6-006703/16"</f>
        <v>DP-02/9/6-006703/16</v>
      </c>
      <c r="D336" s="56">
        <v>42446</v>
      </c>
      <c r="E336" s="56">
        <v>43155</v>
      </c>
      <c r="F336" s="8">
        <v>255349.6</v>
      </c>
      <c r="G336" s="46">
        <v>257349.6</v>
      </c>
      <c r="H336" s="126" t="s">
        <v>1100</v>
      </c>
      <c r="I336" s="156" t="s">
        <v>1834</v>
      </c>
      <c r="J336" s="72"/>
      <c r="K336" s="145"/>
      <c r="M336" s="158"/>
      <c r="N336" s="148"/>
      <c r="O336" s="148"/>
      <c r="P336" s="148"/>
      <c r="Q336" s="148"/>
    </row>
    <row r="337" spans="1:17" s="146" customFormat="1" ht="24" x14ac:dyDescent="0.25">
      <c r="A337" s="127">
        <v>330</v>
      </c>
      <c r="B337" s="60" t="s">
        <v>608</v>
      </c>
      <c r="C337" s="10" t="str">
        <f>"DP-02/9/1-007526"</f>
        <v>DP-02/9/1-007526</v>
      </c>
      <c r="D337" s="56">
        <v>42461</v>
      </c>
      <c r="E337" s="56">
        <v>43155</v>
      </c>
      <c r="F337" s="8">
        <v>177505.96</v>
      </c>
      <c r="G337" s="46">
        <v>181279.12</v>
      </c>
      <c r="H337" s="126" t="s">
        <v>1100</v>
      </c>
      <c r="I337" s="156" t="s">
        <v>1835</v>
      </c>
      <c r="J337" s="72"/>
      <c r="K337" s="145"/>
      <c r="M337" s="158"/>
      <c r="N337" s="148"/>
      <c r="O337" s="148"/>
      <c r="P337" s="148"/>
      <c r="Q337" s="148"/>
    </row>
    <row r="338" spans="1:17" s="146" customFormat="1" ht="36" x14ac:dyDescent="0.25">
      <c r="A338" s="127">
        <v>331</v>
      </c>
      <c r="B338" s="60" t="s">
        <v>988</v>
      </c>
      <c r="C338" s="10" t="str">
        <f>"DP-02/9/6-006557/16"</f>
        <v>DP-02/9/6-006557/16</v>
      </c>
      <c r="D338" s="56">
        <v>42424</v>
      </c>
      <c r="E338" s="56">
        <v>43155</v>
      </c>
      <c r="F338" s="8">
        <v>7296.72</v>
      </c>
      <c r="G338" s="46">
        <v>7634.8</v>
      </c>
      <c r="H338" s="126" t="s">
        <v>1100</v>
      </c>
      <c r="I338" s="156" t="s">
        <v>1836</v>
      </c>
      <c r="J338" s="72"/>
      <c r="K338" s="145"/>
      <c r="M338" s="158"/>
      <c r="N338" s="148"/>
      <c r="O338" s="148"/>
      <c r="P338" s="148"/>
      <c r="Q338" s="148"/>
    </row>
    <row r="339" spans="1:17" s="146" customFormat="1" ht="24" x14ac:dyDescent="0.25">
      <c r="A339" s="127">
        <v>332</v>
      </c>
      <c r="B339" s="60" t="s">
        <v>957</v>
      </c>
      <c r="C339" s="10" t="str">
        <f>"DP-02/9/6-006704/16"</f>
        <v>DP-02/9/6-006704/16</v>
      </c>
      <c r="D339" s="56">
        <v>42450</v>
      </c>
      <c r="E339" s="56">
        <v>43155</v>
      </c>
      <c r="F339" s="8">
        <v>421404.2</v>
      </c>
      <c r="G339" s="46">
        <v>421863.2</v>
      </c>
      <c r="H339" s="126" t="s">
        <v>1100</v>
      </c>
      <c r="I339" s="156" t="s">
        <v>1837</v>
      </c>
      <c r="J339" s="72"/>
      <c r="K339" s="145"/>
      <c r="M339" s="158"/>
      <c r="N339" s="148"/>
      <c r="O339" s="148"/>
      <c r="P339" s="148"/>
      <c r="Q339" s="148"/>
    </row>
    <row r="340" spans="1:17" s="146" customFormat="1" ht="24" x14ac:dyDescent="0.25">
      <c r="A340" s="127">
        <v>333</v>
      </c>
      <c r="B340" s="60" t="s">
        <v>848</v>
      </c>
      <c r="C340" s="10" t="str">
        <f>"DP-02/9/2-006326/16"</f>
        <v>DP-02/9/2-006326/16</v>
      </c>
      <c r="D340" s="56">
        <v>42461</v>
      </c>
      <c r="E340" s="56">
        <v>43155</v>
      </c>
      <c r="F340" s="8">
        <v>79843.600000000006</v>
      </c>
      <c r="G340" s="46">
        <v>79843.600000000006</v>
      </c>
      <c r="H340" s="126" t="s">
        <v>1100</v>
      </c>
      <c r="I340" s="156" t="s">
        <v>1838</v>
      </c>
      <c r="J340" s="72"/>
      <c r="K340" s="145"/>
      <c r="M340" s="158"/>
      <c r="N340" s="148"/>
      <c r="O340" s="148"/>
      <c r="P340" s="148"/>
      <c r="Q340" s="148"/>
    </row>
    <row r="341" spans="1:17" s="146" customFormat="1" ht="36" x14ac:dyDescent="0.25">
      <c r="A341" s="127">
        <v>334</v>
      </c>
      <c r="B341" s="60" t="s">
        <v>975</v>
      </c>
      <c r="C341" s="10" t="str">
        <f>"DP-02/9/2-006563/16"</f>
        <v>DP-02/9/2-006563/16</v>
      </c>
      <c r="D341" s="56">
        <v>42461</v>
      </c>
      <c r="E341" s="56">
        <v>42826</v>
      </c>
      <c r="F341" s="8">
        <v>3210.46</v>
      </c>
      <c r="G341" s="46">
        <v>3210.46</v>
      </c>
      <c r="H341" s="126" t="s">
        <v>1506</v>
      </c>
      <c r="I341" s="156" t="s">
        <v>1839</v>
      </c>
      <c r="J341" s="72"/>
      <c r="K341" s="145"/>
      <c r="M341" s="158"/>
      <c r="N341" s="148"/>
      <c r="O341" s="148"/>
      <c r="P341" s="148"/>
      <c r="Q341" s="148"/>
    </row>
    <row r="342" spans="1:17" s="146" customFormat="1" x14ac:dyDescent="0.25">
      <c r="A342" s="127">
        <v>335</v>
      </c>
      <c r="B342" s="60" t="s">
        <v>503</v>
      </c>
      <c r="C342" s="10" t="str">
        <f>"04/16 OS"</f>
        <v>04/16 OS</v>
      </c>
      <c r="D342" s="56">
        <v>42461</v>
      </c>
      <c r="E342" s="56">
        <v>43155</v>
      </c>
      <c r="F342" s="8">
        <v>45639.32</v>
      </c>
      <c r="G342" s="46">
        <v>45971.82</v>
      </c>
      <c r="H342" s="126" t="s">
        <v>1100</v>
      </c>
      <c r="I342" s="156" t="s">
        <v>1840</v>
      </c>
      <c r="J342" s="72"/>
      <c r="K342" s="145"/>
      <c r="M342" s="158"/>
      <c r="N342" s="148"/>
      <c r="O342" s="148"/>
      <c r="P342" s="148"/>
      <c r="Q342" s="148"/>
    </row>
    <row r="343" spans="1:17" s="146" customFormat="1" ht="24" x14ac:dyDescent="0.25">
      <c r="A343" s="127">
        <v>336</v>
      </c>
      <c r="B343" s="60" t="s">
        <v>792</v>
      </c>
      <c r="C343" s="10" t="str">
        <f>"DP-02/9/3-6280/16"</f>
        <v>DP-02/9/3-6280/16</v>
      </c>
      <c r="D343" s="56">
        <v>42461</v>
      </c>
      <c r="E343" s="56">
        <v>43155</v>
      </c>
      <c r="F343" s="8">
        <v>66676.399999999994</v>
      </c>
      <c r="G343" s="46">
        <v>83345.5</v>
      </c>
      <c r="H343" s="126" t="s">
        <v>1100</v>
      </c>
      <c r="I343" s="156" t="s">
        <v>1841</v>
      </c>
      <c r="J343" s="72"/>
      <c r="K343" s="145"/>
      <c r="M343" s="158"/>
      <c r="N343" s="148"/>
      <c r="O343" s="148"/>
      <c r="P343" s="148"/>
      <c r="Q343" s="148"/>
    </row>
    <row r="344" spans="1:17" s="146" customFormat="1" ht="36" x14ac:dyDescent="0.25">
      <c r="A344" s="127">
        <v>337</v>
      </c>
      <c r="B344" s="60" t="s">
        <v>635</v>
      </c>
      <c r="C344" s="10" t="str">
        <f>"DP-02/9/2-006564/16"</f>
        <v>DP-02/9/2-006564/16</v>
      </c>
      <c r="D344" s="56">
        <v>42461</v>
      </c>
      <c r="E344" s="56">
        <v>42825</v>
      </c>
      <c r="F344" s="8">
        <v>134063.74</v>
      </c>
      <c r="G344" s="46">
        <v>134063.74</v>
      </c>
      <c r="H344" s="126" t="s">
        <v>1103</v>
      </c>
      <c r="I344" s="156" t="s">
        <v>1842</v>
      </c>
      <c r="J344" s="72"/>
      <c r="K344" s="145"/>
      <c r="M344" s="158"/>
      <c r="N344" s="148"/>
      <c r="O344" s="148"/>
      <c r="P344" s="148"/>
      <c r="Q344" s="148"/>
    </row>
    <row r="345" spans="1:17" s="146" customFormat="1" ht="24" x14ac:dyDescent="0.25">
      <c r="A345" s="127">
        <v>338</v>
      </c>
      <c r="B345" s="60" t="s">
        <v>677</v>
      </c>
      <c r="C345" s="10" t="str">
        <f>"DP-02/9/2-6587/16"</f>
        <v>DP-02/9/2-6587/16</v>
      </c>
      <c r="D345" s="56">
        <v>42461</v>
      </c>
      <c r="E345" s="56">
        <v>43155</v>
      </c>
      <c r="F345" s="8">
        <v>389510.62</v>
      </c>
      <c r="G345" s="46">
        <v>389801.98</v>
      </c>
      <c r="H345" s="126" t="s">
        <v>1100</v>
      </c>
      <c r="I345" s="156" t="s">
        <v>1843</v>
      </c>
      <c r="J345" s="72"/>
      <c r="K345" s="145"/>
      <c r="M345" s="158"/>
      <c r="N345" s="148"/>
      <c r="O345" s="148"/>
      <c r="P345" s="148"/>
      <c r="Q345" s="148"/>
    </row>
    <row r="346" spans="1:17" s="146" customFormat="1" ht="24" x14ac:dyDescent="0.25">
      <c r="A346" s="127">
        <v>339</v>
      </c>
      <c r="B346" s="60" t="s">
        <v>751</v>
      </c>
      <c r="C346" s="10" t="str">
        <f>"DP-02/032505/15"</f>
        <v>DP-02/032505/15</v>
      </c>
      <c r="D346" s="56">
        <v>42461</v>
      </c>
      <c r="E346" s="56">
        <v>43155</v>
      </c>
      <c r="F346" s="8">
        <v>876669.06</v>
      </c>
      <c r="G346" s="46">
        <v>882094.62</v>
      </c>
      <c r="H346" s="126" t="s">
        <v>1100</v>
      </c>
      <c r="I346" s="156" t="s">
        <v>1844</v>
      </c>
      <c r="J346" s="72"/>
      <c r="K346" s="145"/>
      <c r="M346" s="158"/>
      <c r="N346" s="148"/>
      <c r="O346" s="148"/>
      <c r="P346" s="148"/>
      <c r="Q346" s="148"/>
    </row>
    <row r="347" spans="1:17" s="146" customFormat="1" ht="24" x14ac:dyDescent="0.25">
      <c r="A347" s="127">
        <v>340</v>
      </c>
      <c r="B347" s="60" t="s">
        <v>205</v>
      </c>
      <c r="C347" s="10" t="str">
        <f>"DP-02-6178/16"</f>
        <v>DP-02-6178/16</v>
      </c>
      <c r="D347" s="56">
        <v>42452</v>
      </c>
      <c r="E347" s="56">
        <v>42825</v>
      </c>
      <c r="F347" s="8">
        <v>0</v>
      </c>
      <c r="G347" s="46">
        <v>0</v>
      </c>
      <c r="H347" s="126" t="s">
        <v>1105</v>
      </c>
      <c r="I347" s="156" t="s">
        <v>1845</v>
      </c>
      <c r="J347" s="72"/>
      <c r="K347" s="145"/>
      <c r="M347" s="158"/>
      <c r="N347" s="148"/>
      <c r="O347" s="148"/>
      <c r="P347" s="148"/>
      <c r="Q347" s="148"/>
    </row>
    <row r="348" spans="1:17" s="146" customFormat="1" ht="24" x14ac:dyDescent="0.25">
      <c r="A348" s="127">
        <v>341</v>
      </c>
      <c r="B348" s="60" t="s">
        <v>954</v>
      </c>
      <c r="C348" s="10" t="str">
        <f>"DP_02/9/6-006902/16"</f>
        <v>DP_02/9/6-006902/16</v>
      </c>
      <c r="D348" s="56">
        <v>42454</v>
      </c>
      <c r="E348" s="56">
        <v>43155</v>
      </c>
      <c r="F348" s="8">
        <v>4885.25</v>
      </c>
      <c r="G348" s="46">
        <v>5029.75</v>
      </c>
      <c r="H348" s="126" t="s">
        <v>1100</v>
      </c>
      <c r="I348" s="156" t="s">
        <v>1846</v>
      </c>
      <c r="J348" s="72"/>
      <c r="K348" s="145"/>
      <c r="M348" s="158"/>
      <c r="N348" s="148"/>
      <c r="O348" s="148"/>
      <c r="P348" s="148"/>
      <c r="Q348" s="148"/>
    </row>
    <row r="349" spans="1:17" s="146" customFormat="1" ht="36" x14ac:dyDescent="0.25">
      <c r="A349" s="127">
        <v>342</v>
      </c>
      <c r="B349" s="60" t="s">
        <v>805</v>
      </c>
      <c r="C349" s="10" t="str">
        <f>"DP-02/9/5-6803/16"</f>
        <v>DP-02/9/5-6803/16</v>
      </c>
      <c r="D349" s="56">
        <v>42452</v>
      </c>
      <c r="E349" s="56">
        <v>43155</v>
      </c>
      <c r="F349" s="8">
        <v>26229</v>
      </c>
      <c r="G349" s="46">
        <v>26387</v>
      </c>
      <c r="H349" s="126" t="s">
        <v>1100</v>
      </c>
      <c r="I349" s="156" t="s">
        <v>1847</v>
      </c>
      <c r="J349" s="72"/>
      <c r="K349" s="145"/>
      <c r="M349" s="158"/>
      <c r="N349" s="148"/>
      <c r="O349" s="148"/>
      <c r="P349" s="148"/>
      <c r="Q349" s="148"/>
    </row>
    <row r="350" spans="1:17" s="146" customFormat="1" ht="24" x14ac:dyDescent="0.25">
      <c r="A350" s="127">
        <v>343</v>
      </c>
      <c r="B350" s="60" t="s">
        <v>873</v>
      </c>
      <c r="C350" s="10" t="str">
        <f>"DP-2-024927/12"</f>
        <v>DP-2-024927/12</v>
      </c>
      <c r="D350" s="56">
        <v>42461</v>
      </c>
      <c r="E350" s="56">
        <v>43155</v>
      </c>
      <c r="F350" s="8">
        <v>6419.7</v>
      </c>
      <c r="G350" s="46">
        <v>8024.63</v>
      </c>
      <c r="H350" s="126" t="s">
        <v>1100</v>
      </c>
      <c r="I350" s="156" t="s">
        <v>1848</v>
      </c>
      <c r="J350" s="72"/>
      <c r="K350" s="145"/>
      <c r="M350" s="158"/>
      <c r="N350" s="148"/>
      <c r="O350" s="148"/>
      <c r="P350" s="148"/>
      <c r="Q350" s="148"/>
    </row>
    <row r="351" spans="1:17" s="146" customFormat="1" ht="24" x14ac:dyDescent="0.25">
      <c r="A351" s="127">
        <v>344</v>
      </c>
      <c r="B351" s="60" t="s">
        <v>510</v>
      </c>
      <c r="C351" s="10" t="str">
        <f>"DP-02/9/3-6344/16"</f>
        <v>DP-02/9/3-6344/16</v>
      </c>
      <c r="D351" s="56">
        <v>42461</v>
      </c>
      <c r="E351" s="56">
        <v>43155</v>
      </c>
      <c r="F351" s="8">
        <v>21277.89</v>
      </c>
      <c r="G351" s="46">
        <v>21277.89</v>
      </c>
      <c r="H351" s="126" t="s">
        <v>1100</v>
      </c>
      <c r="I351" s="156" t="s">
        <v>1849</v>
      </c>
      <c r="J351" s="72"/>
      <c r="K351" s="145"/>
      <c r="M351" s="158"/>
      <c r="N351" s="148"/>
      <c r="O351" s="148"/>
      <c r="P351" s="148"/>
      <c r="Q351" s="148"/>
    </row>
    <row r="352" spans="1:17" s="146" customFormat="1" ht="24" x14ac:dyDescent="0.25">
      <c r="A352" s="127">
        <v>345</v>
      </c>
      <c r="B352" s="60" t="s">
        <v>204</v>
      </c>
      <c r="C352" s="10" t="str">
        <f>"15/2015-16/44-1"</f>
        <v>15/2015-16/44-1</v>
      </c>
      <c r="D352" s="56">
        <v>42461</v>
      </c>
      <c r="E352" s="56">
        <v>42825</v>
      </c>
      <c r="F352" s="8">
        <v>1047076.06</v>
      </c>
      <c r="G352" s="46">
        <v>1058495.8500000001</v>
      </c>
      <c r="H352" s="126" t="s">
        <v>1103</v>
      </c>
      <c r="I352" s="156" t="s">
        <v>1850</v>
      </c>
      <c r="J352" s="72"/>
      <c r="K352" s="145"/>
      <c r="M352" s="158"/>
      <c r="N352" s="148"/>
      <c r="O352" s="148"/>
      <c r="P352" s="148"/>
      <c r="Q352" s="148"/>
    </row>
    <row r="353" spans="1:17" s="146" customFormat="1" ht="24" x14ac:dyDescent="0.25">
      <c r="A353" s="127">
        <v>346</v>
      </c>
      <c r="B353" s="60" t="s">
        <v>637</v>
      </c>
      <c r="C353" s="10" t="str">
        <f>"DP-02-032505-15"</f>
        <v>DP-02-032505-15</v>
      </c>
      <c r="D353" s="56">
        <v>42461</v>
      </c>
      <c r="E353" s="56">
        <v>43155</v>
      </c>
      <c r="F353" s="8">
        <v>30266.240000000002</v>
      </c>
      <c r="G353" s="46">
        <v>35084.44</v>
      </c>
      <c r="H353" s="126" t="s">
        <v>1100</v>
      </c>
      <c r="I353" s="156" t="s">
        <v>1851</v>
      </c>
      <c r="J353" s="72"/>
      <c r="K353" s="145"/>
      <c r="M353" s="158"/>
      <c r="N353" s="148"/>
      <c r="O353" s="148"/>
      <c r="P353" s="148"/>
      <c r="Q353" s="148"/>
    </row>
    <row r="354" spans="1:17" s="146" customFormat="1" ht="24" x14ac:dyDescent="0.25">
      <c r="A354" s="127">
        <v>347</v>
      </c>
      <c r="B354" s="60" t="s">
        <v>196</v>
      </c>
      <c r="C354" s="10" t="str">
        <f>"MGPU EV.BR. 15/2015"</f>
        <v>MGPU EV.BR. 15/2015</v>
      </c>
      <c r="D354" s="56">
        <v>42458</v>
      </c>
      <c r="E354" s="56">
        <v>42826</v>
      </c>
      <c r="F354" s="8">
        <v>638110.65</v>
      </c>
      <c r="G354" s="46">
        <v>640576.65</v>
      </c>
      <c r="H354" s="126" t="s">
        <v>1103</v>
      </c>
      <c r="I354" s="156" t="s">
        <v>1852</v>
      </c>
      <c r="J354" s="72"/>
      <c r="K354" s="145"/>
      <c r="M354" s="158"/>
      <c r="N354" s="148"/>
      <c r="O354" s="148"/>
      <c r="P354" s="148"/>
      <c r="Q354" s="148"/>
    </row>
    <row r="355" spans="1:17" s="146" customFormat="1" ht="36" x14ac:dyDescent="0.25">
      <c r="A355" s="127">
        <v>348</v>
      </c>
      <c r="B355" s="60" t="s">
        <v>694</v>
      </c>
      <c r="C355" s="10" t="str">
        <f>"DP-02/9/5-006523/16"</f>
        <v>DP-02/9/5-006523/16</v>
      </c>
      <c r="D355" s="56">
        <v>42461</v>
      </c>
      <c r="E355" s="56">
        <v>42825</v>
      </c>
      <c r="F355" s="8">
        <v>189497.4</v>
      </c>
      <c r="G355" s="46">
        <v>236871.75</v>
      </c>
      <c r="H355" s="126" t="s">
        <v>1103</v>
      </c>
      <c r="I355" s="156" t="s">
        <v>1853</v>
      </c>
      <c r="J355" s="72"/>
      <c r="K355" s="145"/>
      <c r="M355" s="158"/>
      <c r="N355" s="148"/>
      <c r="O355" s="148"/>
      <c r="P355" s="148"/>
      <c r="Q355" s="148"/>
    </row>
    <row r="356" spans="1:17" s="146" customFormat="1" ht="24" x14ac:dyDescent="0.25">
      <c r="A356" s="127">
        <v>349</v>
      </c>
      <c r="B356" s="60" t="s">
        <v>721</v>
      </c>
      <c r="C356" s="10" t="str">
        <f>"DP-02/9/6-007935/16"</f>
        <v>DP-02/9/6-007935/16</v>
      </c>
      <c r="D356" s="56">
        <v>42460</v>
      </c>
      <c r="E356" s="56">
        <v>43155</v>
      </c>
      <c r="F356" s="8">
        <v>223380.26</v>
      </c>
      <c r="G356" s="46">
        <v>227845.63</v>
      </c>
      <c r="H356" s="126" t="s">
        <v>1100</v>
      </c>
      <c r="I356" s="156" t="s">
        <v>1854</v>
      </c>
      <c r="J356" s="72"/>
      <c r="K356" s="145"/>
      <c r="M356" s="158"/>
      <c r="N356" s="148"/>
      <c r="O356" s="148"/>
      <c r="P356" s="148"/>
      <c r="Q356" s="148"/>
    </row>
    <row r="357" spans="1:17" s="146" customFormat="1" ht="24" x14ac:dyDescent="0.25">
      <c r="A357" s="127">
        <v>350</v>
      </c>
      <c r="B357" s="60" t="s">
        <v>843</v>
      </c>
      <c r="C357" s="10" t="str">
        <f>"030-01/16-01/20"</f>
        <v>030-01/16-01/20</v>
      </c>
      <c r="D357" s="56">
        <v>42461</v>
      </c>
      <c r="E357" s="56">
        <v>43155</v>
      </c>
      <c r="F357" s="8">
        <v>67650.559999999998</v>
      </c>
      <c r="G357" s="46">
        <v>69360.649999999994</v>
      </c>
      <c r="H357" s="126" t="s">
        <v>1100</v>
      </c>
      <c r="I357" s="156" t="s">
        <v>1855</v>
      </c>
      <c r="J357" s="72"/>
      <c r="K357" s="145"/>
      <c r="M357" s="158"/>
      <c r="N357" s="148"/>
      <c r="O357" s="148"/>
      <c r="P357" s="148"/>
      <c r="Q357" s="148"/>
    </row>
    <row r="358" spans="1:17" s="146" customFormat="1" ht="24" x14ac:dyDescent="0.25">
      <c r="A358" s="127">
        <v>351</v>
      </c>
      <c r="B358" s="60" t="s">
        <v>206</v>
      </c>
      <c r="C358" s="10" t="str">
        <f>"UG.POŠTA AB"</f>
        <v>UG.POŠTA AB</v>
      </c>
      <c r="D358" s="56">
        <v>42458</v>
      </c>
      <c r="E358" s="56">
        <v>43155</v>
      </c>
      <c r="F358" s="8">
        <v>121773.84</v>
      </c>
      <c r="G358" s="46">
        <v>121773.84</v>
      </c>
      <c r="H358" s="126" t="s">
        <v>1100</v>
      </c>
      <c r="I358" s="156" t="s">
        <v>1856</v>
      </c>
      <c r="J358" s="72"/>
      <c r="K358" s="145"/>
      <c r="M358" s="158"/>
      <c r="N358" s="148"/>
      <c r="O358" s="148"/>
      <c r="P358" s="148"/>
      <c r="Q358" s="148"/>
    </row>
    <row r="359" spans="1:17" s="146" customFormat="1" ht="24" x14ac:dyDescent="0.25">
      <c r="A359" s="127">
        <v>352</v>
      </c>
      <c r="B359" s="60" t="s">
        <v>852</v>
      </c>
      <c r="C359" s="10" t="str">
        <f>"54-146/16"</f>
        <v>54-146/16</v>
      </c>
      <c r="D359" s="56">
        <v>42461</v>
      </c>
      <c r="E359" s="56">
        <v>43155</v>
      </c>
      <c r="F359" s="8">
        <v>3180</v>
      </c>
      <c r="G359" s="46">
        <v>3975</v>
      </c>
      <c r="H359" s="126" t="s">
        <v>1100</v>
      </c>
      <c r="I359" s="156" t="s">
        <v>1857</v>
      </c>
      <c r="J359" s="72"/>
      <c r="K359" s="145"/>
      <c r="M359" s="158"/>
      <c r="N359" s="148"/>
      <c r="O359" s="148"/>
      <c r="P359" s="148"/>
      <c r="Q359" s="148"/>
    </row>
    <row r="360" spans="1:17" s="146" customFormat="1" ht="24" x14ac:dyDescent="0.25">
      <c r="A360" s="127">
        <v>353</v>
      </c>
      <c r="B360" s="60" t="s">
        <v>685</v>
      </c>
      <c r="C360" s="10" t="str">
        <f>"DP-02/9/5-006970/16"</f>
        <v>DP-02/9/5-006970/16</v>
      </c>
      <c r="D360" s="56">
        <v>42461</v>
      </c>
      <c r="E360" s="56">
        <v>43155</v>
      </c>
      <c r="F360" s="8">
        <v>356202.52</v>
      </c>
      <c r="G360" s="46">
        <v>357321.1</v>
      </c>
      <c r="H360" s="126" t="s">
        <v>1100</v>
      </c>
      <c r="I360" s="156" t="s">
        <v>1858</v>
      </c>
      <c r="J360" s="72"/>
      <c r="K360" s="145"/>
      <c r="M360" s="158"/>
      <c r="N360" s="148"/>
      <c r="O360" s="148"/>
      <c r="P360" s="148"/>
      <c r="Q360" s="148"/>
    </row>
    <row r="361" spans="1:17" s="146" customFormat="1" x14ac:dyDescent="0.25">
      <c r="A361" s="127">
        <v>354</v>
      </c>
      <c r="B361" s="60" t="s">
        <v>967</v>
      </c>
      <c r="C361" s="10" t="str">
        <f>"1-2016-OS"</f>
        <v>1-2016-OS</v>
      </c>
      <c r="D361" s="56">
        <v>42461</v>
      </c>
      <c r="E361" s="56">
        <v>43155</v>
      </c>
      <c r="F361" s="8">
        <v>16539.060000000001</v>
      </c>
      <c r="G361" s="46">
        <v>20673.830000000002</v>
      </c>
      <c r="H361" s="126" t="s">
        <v>1102</v>
      </c>
      <c r="I361" s="156" t="s">
        <v>1859</v>
      </c>
      <c r="J361" s="72"/>
      <c r="K361" s="145"/>
      <c r="M361" s="158"/>
      <c r="N361" s="148"/>
      <c r="O361" s="148"/>
      <c r="P361" s="148"/>
      <c r="Q361" s="148"/>
    </row>
    <row r="362" spans="1:17" s="146" customFormat="1" ht="24" x14ac:dyDescent="0.25">
      <c r="A362" s="127">
        <v>355</v>
      </c>
      <c r="B362" s="60" t="s">
        <v>832</v>
      </c>
      <c r="C362" s="10" t="str">
        <f>"DP-02/9/6-006701/16"</f>
        <v>DP-02/9/6-006701/16</v>
      </c>
      <c r="D362" s="56">
        <v>42450</v>
      </c>
      <c r="E362" s="56">
        <v>43155</v>
      </c>
      <c r="F362" s="8">
        <v>90236.23</v>
      </c>
      <c r="G362" s="46">
        <v>90236.23</v>
      </c>
      <c r="H362" s="126" t="s">
        <v>1100</v>
      </c>
      <c r="I362" s="156" t="s">
        <v>1860</v>
      </c>
      <c r="J362" s="72"/>
      <c r="K362" s="145"/>
      <c r="M362" s="158"/>
      <c r="N362" s="148"/>
      <c r="O362" s="148"/>
      <c r="P362" s="148"/>
      <c r="Q362" s="148"/>
    </row>
    <row r="363" spans="1:17" s="146" customFormat="1" ht="24" x14ac:dyDescent="0.25">
      <c r="A363" s="127">
        <v>356</v>
      </c>
      <c r="B363" s="60" t="s">
        <v>674</v>
      </c>
      <c r="C363" s="10" t="str">
        <f>"DP-02/9/3-7079/16"</f>
        <v>DP-02/9/3-7079/16</v>
      </c>
      <c r="D363" s="56">
        <v>42461</v>
      </c>
      <c r="E363" s="56">
        <v>43155</v>
      </c>
      <c r="F363" s="8">
        <v>1921524.88</v>
      </c>
      <c r="G363" s="46">
        <v>1922364.87</v>
      </c>
      <c r="H363" s="126" t="s">
        <v>1100</v>
      </c>
      <c r="I363" s="156" t="s">
        <v>1861</v>
      </c>
      <c r="J363" s="72"/>
      <c r="K363" s="145"/>
      <c r="M363" s="158"/>
      <c r="N363" s="148"/>
      <c r="O363" s="148"/>
      <c r="P363" s="148"/>
      <c r="Q363" s="148"/>
    </row>
    <row r="364" spans="1:17" s="146" customFormat="1" ht="24" x14ac:dyDescent="0.25">
      <c r="A364" s="127">
        <v>357</v>
      </c>
      <c r="B364" s="60" t="s">
        <v>615</v>
      </c>
      <c r="C364" s="10" t="str">
        <f>"PU-1/2016"</f>
        <v>PU-1/2016</v>
      </c>
      <c r="D364" s="56">
        <v>42551</v>
      </c>
      <c r="E364" s="56">
        <v>43155</v>
      </c>
      <c r="F364" s="8">
        <v>62683.91</v>
      </c>
      <c r="G364" s="46">
        <v>78354.89</v>
      </c>
      <c r="H364" s="126" t="s">
        <v>1100</v>
      </c>
      <c r="I364" s="156" t="s">
        <v>1862</v>
      </c>
      <c r="J364" s="72"/>
      <c r="K364" s="145"/>
      <c r="M364" s="158"/>
      <c r="N364" s="148"/>
      <c r="O364" s="148"/>
      <c r="P364" s="148"/>
      <c r="Q364" s="148"/>
    </row>
    <row r="365" spans="1:17" s="146" customFormat="1" ht="24" x14ac:dyDescent="0.25">
      <c r="A365" s="127">
        <v>358</v>
      </c>
      <c r="B365" s="60" t="s">
        <v>963</v>
      </c>
      <c r="C365" s="10" t="str">
        <f>"DP-02/9/6-006694/16"</f>
        <v>DP-02/9/6-006694/16</v>
      </c>
      <c r="D365" s="56">
        <v>42474</v>
      </c>
      <c r="E365" s="56">
        <v>43155</v>
      </c>
      <c r="F365" s="8">
        <v>532186.80000000005</v>
      </c>
      <c r="G365" s="46">
        <v>532186.80000000005</v>
      </c>
      <c r="H365" s="126" t="s">
        <v>1100</v>
      </c>
      <c r="I365" s="156" t="s">
        <v>1863</v>
      </c>
      <c r="J365" s="72"/>
      <c r="K365" s="145"/>
      <c r="M365" s="158"/>
      <c r="N365" s="148"/>
      <c r="O365" s="148"/>
      <c r="P365" s="148"/>
      <c r="Q365" s="148"/>
    </row>
    <row r="366" spans="1:17" s="146" customFormat="1" ht="24" x14ac:dyDescent="0.25">
      <c r="A366" s="127">
        <v>359</v>
      </c>
      <c r="B366" s="60" t="s">
        <v>649</v>
      </c>
      <c r="C366" s="10" t="str">
        <f>"DP-02/9/6-007946/16"</f>
        <v>DP-02/9/6-007946/16</v>
      </c>
      <c r="D366" s="56">
        <v>42459</v>
      </c>
      <c r="E366" s="56">
        <v>43155</v>
      </c>
      <c r="F366" s="8">
        <v>4713700.62</v>
      </c>
      <c r="G366" s="46">
        <v>4713700.62</v>
      </c>
      <c r="H366" s="126" t="s">
        <v>1100</v>
      </c>
      <c r="I366" s="156" t="s">
        <v>1864</v>
      </c>
      <c r="J366" s="72"/>
      <c r="K366" s="145"/>
      <c r="M366" s="158"/>
      <c r="N366" s="148"/>
      <c r="O366" s="148"/>
      <c r="P366" s="148"/>
      <c r="Q366" s="148"/>
    </row>
    <row r="367" spans="1:17" s="146" customFormat="1" x14ac:dyDescent="0.25">
      <c r="A367" s="127">
        <v>360</v>
      </c>
      <c r="B367" s="60" t="s">
        <v>752</v>
      </c>
      <c r="C367" s="10" t="str">
        <f>"406-01/"</f>
        <v>406-01/</v>
      </c>
      <c r="D367" s="56">
        <v>42453</v>
      </c>
      <c r="E367" s="56">
        <v>43155</v>
      </c>
      <c r="F367" s="8">
        <v>32000</v>
      </c>
      <c r="G367" s="46">
        <v>32000</v>
      </c>
      <c r="H367" s="126" t="s">
        <v>1100</v>
      </c>
      <c r="I367" s="156" t="s">
        <v>1865</v>
      </c>
      <c r="J367" s="72"/>
      <c r="K367" s="145"/>
      <c r="M367" s="158"/>
      <c r="N367" s="148"/>
      <c r="O367" s="148"/>
      <c r="P367" s="148"/>
      <c r="Q367" s="148"/>
    </row>
    <row r="368" spans="1:17" s="146" customFormat="1" ht="24" x14ac:dyDescent="0.25">
      <c r="A368" s="127">
        <v>361</v>
      </c>
      <c r="B368" s="60" t="s">
        <v>845</v>
      </c>
      <c r="C368" s="10" t="str">
        <f>"DP-02/9/6-006697/16"</f>
        <v>DP-02/9/6-006697/16</v>
      </c>
      <c r="D368" s="56">
        <v>42454</v>
      </c>
      <c r="E368" s="56">
        <v>43155</v>
      </c>
      <c r="F368" s="8">
        <v>26279.56</v>
      </c>
      <c r="G368" s="46">
        <v>32849.449999999997</v>
      </c>
      <c r="H368" s="126" t="s">
        <v>1100</v>
      </c>
      <c r="I368" s="156" t="s">
        <v>1866</v>
      </c>
      <c r="J368" s="72"/>
      <c r="K368" s="145"/>
      <c r="M368" s="158"/>
      <c r="N368" s="148"/>
      <c r="O368" s="148"/>
      <c r="P368" s="148"/>
      <c r="Q368" s="148"/>
    </row>
    <row r="369" spans="1:17" s="146" customFormat="1" ht="36" x14ac:dyDescent="0.25">
      <c r="A369" s="127">
        <v>362</v>
      </c>
      <c r="B369" s="60" t="s">
        <v>476</v>
      </c>
      <c r="C369" s="10" t="str">
        <f>"19/16"</f>
        <v>19/16</v>
      </c>
      <c r="D369" s="56">
        <v>42454</v>
      </c>
      <c r="E369" s="59"/>
      <c r="F369" s="8">
        <v>1171008.6599999999</v>
      </c>
      <c r="G369" s="46">
        <v>1171008.6599999999</v>
      </c>
      <c r="H369" s="126" t="s">
        <v>1100</v>
      </c>
      <c r="I369" s="156" t="s">
        <v>1867</v>
      </c>
      <c r="J369" s="72"/>
      <c r="K369" s="145"/>
      <c r="M369" s="158"/>
      <c r="N369" s="148"/>
      <c r="O369" s="148"/>
      <c r="P369" s="148"/>
      <c r="Q369" s="148"/>
    </row>
    <row r="370" spans="1:17" s="146" customFormat="1" ht="24" x14ac:dyDescent="0.25">
      <c r="A370" s="127">
        <v>363</v>
      </c>
      <c r="B370" s="60" t="s">
        <v>186</v>
      </c>
      <c r="C370" s="10" t="str">
        <f>"406-01/16-01/0046"</f>
        <v>406-01/16-01/0046</v>
      </c>
      <c r="D370" s="56">
        <v>42446</v>
      </c>
      <c r="E370" s="56">
        <v>42825</v>
      </c>
      <c r="F370" s="8">
        <v>383892.12</v>
      </c>
      <c r="G370" s="46">
        <v>391258.13</v>
      </c>
      <c r="H370" s="126" t="s">
        <v>1105</v>
      </c>
      <c r="I370" s="156" t="s">
        <v>1868</v>
      </c>
      <c r="J370" s="72"/>
      <c r="K370" s="145"/>
      <c r="M370" s="158"/>
      <c r="N370" s="148"/>
      <c r="O370" s="148"/>
      <c r="P370" s="148"/>
      <c r="Q370" s="148"/>
    </row>
    <row r="371" spans="1:17" s="146" customFormat="1" ht="24" x14ac:dyDescent="0.25">
      <c r="A371" s="127">
        <v>364</v>
      </c>
      <c r="B371" s="60" t="s">
        <v>929</v>
      </c>
      <c r="C371" s="10" t="str">
        <f>"38/16"</f>
        <v>38/16</v>
      </c>
      <c r="D371" s="56">
        <v>42461</v>
      </c>
      <c r="E371" s="56">
        <v>42825</v>
      </c>
      <c r="F371" s="8">
        <v>3578.91</v>
      </c>
      <c r="G371" s="46">
        <v>3619.76</v>
      </c>
      <c r="H371" s="126" t="s">
        <v>1103</v>
      </c>
      <c r="I371" s="156" t="s">
        <v>1869</v>
      </c>
      <c r="J371" s="72"/>
      <c r="K371" s="145"/>
      <c r="M371" s="158"/>
      <c r="N371" s="148"/>
      <c r="O371" s="148"/>
      <c r="P371" s="148"/>
      <c r="Q371" s="148"/>
    </row>
    <row r="372" spans="1:17" s="146" customFormat="1" ht="24" x14ac:dyDescent="0.25">
      <c r="A372" s="127">
        <v>365</v>
      </c>
      <c r="B372" s="60" t="s">
        <v>669</v>
      </c>
      <c r="C372" s="10" t="str">
        <f>"DP-02/9/5-006403/16"</f>
        <v>DP-02/9/5-006403/16</v>
      </c>
      <c r="D372" s="56">
        <v>42461</v>
      </c>
      <c r="E372" s="56">
        <v>43155</v>
      </c>
      <c r="F372" s="8">
        <v>443485.2</v>
      </c>
      <c r="G372" s="46">
        <v>443530.8</v>
      </c>
      <c r="H372" s="126" t="s">
        <v>1100</v>
      </c>
      <c r="I372" s="156" t="s">
        <v>1870</v>
      </c>
      <c r="J372" s="72"/>
      <c r="K372" s="145"/>
      <c r="M372" s="158"/>
      <c r="N372" s="148"/>
      <c r="O372" s="148"/>
      <c r="P372" s="148"/>
      <c r="Q372" s="148"/>
    </row>
    <row r="373" spans="1:17" s="146" customFormat="1" ht="24" x14ac:dyDescent="0.25">
      <c r="A373" s="127">
        <v>366</v>
      </c>
      <c r="B373" s="60" t="s">
        <v>526</v>
      </c>
      <c r="C373" s="10" t="str">
        <f>"DP--02/9/5-007221/16"</f>
        <v>DP--02/9/5-007221/16</v>
      </c>
      <c r="D373" s="56">
        <v>42461</v>
      </c>
      <c r="E373" s="56">
        <v>43155</v>
      </c>
      <c r="F373" s="8">
        <v>1545967.02</v>
      </c>
      <c r="G373" s="46">
        <v>1547677.62</v>
      </c>
      <c r="H373" s="126" t="s">
        <v>1100</v>
      </c>
      <c r="I373" s="156" t="s">
        <v>1871</v>
      </c>
      <c r="J373" s="72"/>
      <c r="K373" s="145"/>
      <c r="M373" s="158"/>
      <c r="N373" s="148"/>
      <c r="O373" s="148"/>
      <c r="P373" s="148"/>
      <c r="Q373" s="148"/>
    </row>
    <row r="374" spans="1:17" s="146" customFormat="1" ht="24" x14ac:dyDescent="0.25">
      <c r="A374" s="127">
        <v>367</v>
      </c>
      <c r="B374" s="60" t="s">
        <v>720</v>
      </c>
      <c r="C374" s="10" t="str">
        <f>"DP-02/9/2-006732/16"</f>
        <v>DP-02/9/2-006732/16</v>
      </c>
      <c r="D374" s="56">
        <v>42459</v>
      </c>
      <c r="E374" s="56">
        <v>42766</v>
      </c>
      <c r="F374" s="8">
        <v>227874.08</v>
      </c>
      <c r="G374" s="46">
        <v>227914.74</v>
      </c>
      <c r="H374" s="126" t="s">
        <v>1103</v>
      </c>
      <c r="I374" s="156" t="s">
        <v>1872</v>
      </c>
      <c r="J374" s="72"/>
      <c r="K374" s="145"/>
      <c r="M374" s="158"/>
      <c r="N374" s="148"/>
      <c r="O374" s="148"/>
      <c r="P374" s="148"/>
      <c r="Q374" s="148"/>
    </row>
    <row r="375" spans="1:17" s="146" customFormat="1" x14ac:dyDescent="0.25">
      <c r="A375" s="127">
        <v>368</v>
      </c>
      <c r="B375" s="60" t="s">
        <v>542</v>
      </c>
      <c r="C375" s="10" t="str">
        <f>"RA-16-03/03"</f>
        <v>RA-16-03/03</v>
      </c>
      <c r="D375" s="56">
        <v>42485</v>
      </c>
      <c r="E375" s="56">
        <v>43211</v>
      </c>
      <c r="F375" s="8">
        <v>10899.5</v>
      </c>
      <c r="G375" s="46">
        <v>11192.4</v>
      </c>
      <c r="H375" s="126" t="s">
        <v>1100</v>
      </c>
      <c r="I375" s="156" t="s">
        <v>1873</v>
      </c>
      <c r="J375" s="72"/>
      <c r="K375" s="145"/>
      <c r="M375" s="158"/>
      <c r="N375" s="148"/>
      <c r="O375" s="148"/>
      <c r="P375" s="148"/>
      <c r="Q375" s="148"/>
    </row>
    <row r="376" spans="1:17" s="146" customFormat="1" x14ac:dyDescent="0.25">
      <c r="A376" s="127">
        <v>369</v>
      </c>
      <c r="B376" s="60" t="s">
        <v>606</v>
      </c>
      <c r="C376" s="10" t="str">
        <f>"41 SU-107/16"</f>
        <v>41 SU-107/16</v>
      </c>
      <c r="D376" s="56">
        <v>42461</v>
      </c>
      <c r="E376" s="56">
        <v>43155</v>
      </c>
      <c r="F376" s="8">
        <v>296663</v>
      </c>
      <c r="G376" s="46">
        <v>296790</v>
      </c>
      <c r="H376" s="126" t="s">
        <v>1100</v>
      </c>
      <c r="I376" s="156" t="s">
        <v>1874</v>
      </c>
      <c r="J376" s="72"/>
      <c r="K376" s="145"/>
      <c r="M376" s="158"/>
      <c r="N376" s="148"/>
      <c r="O376" s="148"/>
      <c r="P376" s="148"/>
      <c r="Q376" s="148"/>
    </row>
    <row r="377" spans="1:17" s="146" customFormat="1" ht="24" x14ac:dyDescent="0.25">
      <c r="A377" s="127">
        <v>370</v>
      </c>
      <c r="B377" s="60" t="s">
        <v>501</v>
      </c>
      <c r="C377" s="10" t="str">
        <f>"406-01/16-01/35"</f>
        <v>406-01/16-01/35</v>
      </c>
      <c r="D377" s="56">
        <v>42451</v>
      </c>
      <c r="E377" s="56">
        <v>43155</v>
      </c>
      <c r="F377" s="8">
        <v>27127.66</v>
      </c>
      <c r="G377" s="46">
        <v>27127.66</v>
      </c>
      <c r="H377" s="126" t="s">
        <v>1100</v>
      </c>
      <c r="I377" s="156" t="s">
        <v>1875</v>
      </c>
      <c r="J377" s="72"/>
      <c r="K377" s="145"/>
      <c r="M377" s="158"/>
      <c r="N377" s="148"/>
      <c r="O377" s="148"/>
      <c r="P377" s="148"/>
      <c r="Q377" s="148"/>
    </row>
    <row r="378" spans="1:17" s="146" customFormat="1" ht="36" x14ac:dyDescent="0.25">
      <c r="A378" s="127">
        <v>371</v>
      </c>
      <c r="B378" s="60" t="s">
        <v>712</v>
      </c>
      <c r="C378" s="10" t="str">
        <f>"DP-02/9/5-006257/16"</f>
        <v>DP-02/9/5-006257/16</v>
      </c>
      <c r="D378" s="56">
        <v>42461</v>
      </c>
      <c r="E378" s="56">
        <v>43191</v>
      </c>
      <c r="F378" s="8">
        <v>29832.55</v>
      </c>
      <c r="G378" s="46">
        <v>29868.9</v>
      </c>
      <c r="H378" s="126" t="s">
        <v>1100</v>
      </c>
      <c r="I378" s="156" t="s">
        <v>1876</v>
      </c>
      <c r="J378" s="72"/>
      <c r="K378" s="145"/>
      <c r="M378" s="158"/>
      <c r="N378" s="148"/>
      <c r="O378" s="148"/>
      <c r="P378" s="148"/>
      <c r="Q378" s="148"/>
    </row>
    <row r="379" spans="1:17" s="146" customFormat="1" ht="24" x14ac:dyDescent="0.25">
      <c r="A379" s="127">
        <v>372</v>
      </c>
      <c r="B379" s="60" t="s">
        <v>745</v>
      </c>
      <c r="C379" s="10" t="str">
        <f>"DP-02/9/3-7354/16"</f>
        <v>DP-02/9/3-7354/16</v>
      </c>
      <c r="D379" s="56">
        <v>42461</v>
      </c>
      <c r="E379" s="56">
        <v>43155</v>
      </c>
      <c r="F379" s="8">
        <v>1346749.64</v>
      </c>
      <c r="G379" s="46">
        <v>1348166.09</v>
      </c>
      <c r="H379" s="126" t="s">
        <v>1100</v>
      </c>
      <c r="I379" s="156" t="s">
        <v>1877</v>
      </c>
      <c r="J379" s="72"/>
      <c r="K379" s="145"/>
      <c r="M379" s="158"/>
      <c r="N379" s="148"/>
      <c r="O379" s="148"/>
      <c r="P379" s="148"/>
      <c r="Q379" s="148"/>
    </row>
    <row r="380" spans="1:17" s="146" customFormat="1" x14ac:dyDescent="0.25">
      <c r="A380" s="127">
        <v>373</v>
      </c>
      <c r="B380" s="60" t="s">
        <v>709</v>
      </c>
      <c r="C380" s="10" t="str">
        <f>"1PTT"</f>
        <v>1PTT</v>
      </c>
      <c r="D380" s="56">
        <v>42451</v>
      </c>
      <c r="E380" s="56">
        <v>43155</v>
      </c>
      <c r="F380" s="8">
        <v>75212.78</v>
      </c>
      <c r="G380" s="46">
        <v>94015.98</v>
      </c>
      <c r="H380" s="126" t="s">
        <v>1100</v>
      </c>
      <c r="I380" s="156" t="s">
        <v>1878</v>
      </c>
      <c r="J380" s="72"/>
      <c r="K380" s="145"/>
      <c r="M380" s="158"/>
      <c r="N380" s="148"/>
      <c r="O380" s="148"/>
      <c r="P380" s="148"/>
      <c r="Q380" s="148"/>
    </row>
    <row r="381" spans="1:17" s="146" customFormat="1" x14ac:dyDescent="0.25">
      <c r="A381" s="127">
        <v>374</v>
      </c>
      <c r="B381" s="60" t="s">
        <v>474</v>
      </c>
      <c r="C381" s="10" t="str">
        <f>"07/16 OS"</f>
        <v>07/16 OS</v>
      </c>
      <c r="D381" s="56">
        <v>42458</v>
      </c>
      <c r="E381" s="56">
        <v>43155</v>
      </c>
      <c r="F381" s="8">
        <v>42004.32</v>
      </c>
      <c r="G381" s="46">
        <v>42358.1</v>
      </c>
      <c r="H381" s="126" t="s">
        <v>1100</v>
      </c>
      <c r="I381" s="156" t="s">
        <v>1879</v>
      </c>
      <c r="J381" s="72"/>
      <c r="K381" s="145"/>
      <c r="M381" s="158"/>
      <c r="N381" s="148"/>
      <c r="O381" s="148"/>
      <c r="P381" s="148"/>
      <c r="Q381" s="148"/>
    </row>
    <row r="382" spans="1:17" s="146" customFormat="1" ht="24" x14ac:dyDescent="0.25">
      <c r="A382" s="127">
        <v>375</v>
      </c>
      <c r="B382" s="60" t="s">
        <v>820</v>
      </c>
      <c r="C382" s="10" t="str">
        <f>"2156/01-22-16-5"</f>
        <v>2156/01-22-16-5</v>
      </c>
      <c r="D382" s="56">
        <v>42401</v>
      </c>
      <c r="E382" s="56">
        <v>43155</v>
      </c>
      <c r="F382" s="8">
        <v>17273</v>
      </c>
      <c r="G382" s="46">
        <v>21591.25</v>
      </c>
      <c r="H382" s="126" t="s">
        <v>1471</v>
      </c>
      <c r="I382" s="156" t="s">
        <v>1880</v>
      </c>
      <c r="J382" s="72"/>
      <c r="K382" s="145"/>
      <c r="M382" s="158"/>
      <c r="N382" s="148"/>
      <c r="O382" s="148"/>
      <c r="P382" s="148"/>
      <c r="Q382" s="148"/>
    </row>
    <row r="383" spans="1:17" s="146" customFormat="1" ht="24" x14ac:dyDescent="0.25">
      <c r="A383" s="127">
        <v>376</v>
      </c>
      <c r="B383" s="60" t="s">
        <v>600</v>
      </c>
      <c r="C383" s="10" t="str">
        <f>"DP-02/9/2-006661/16"</f>
        <v>DP-02/9/2-006661/16</v>
      </c>
      <c r="D383" s="56">
        <v>42461</v>
      </c>
      <c r="E383" s="59"/>
      <c r="F383" s="8">
        <v>137526.75</v>
      </c>
      <c r="G383" s="46">
        <v>137526.75</v>
      </c>
      <c r="H383" s="126" t="s">
        <v>1100</v>
      </c>
      <c r="I383" s="156" t="s">
        <v>1881</v>
      </c>
      <c r="J383" s="72"/>
      <c r="K383" s="145"/>
      <c r="M383" s="158"/>
      <c r="N383" s="148"/>
      <c r="O383" s="148"/>
      <c r="P383" s="148"/>
      <c r="Q383" s="148"/>
    </row>
    <row r="384" spans="1:17" s="146" customFormat="1" ht="36" x14ac:dyDescent="0.25">
      <c r="A384" s="127">
        <v>377</v>
      </c>
      <c r="B384" s="60" t="s">
        <v>598</v>
      </c>
      <c r="C384" s="10" t="str">
        <f>"DP-02/9/5-006292/16"</f>
        <v>DP-02/9/5-006292/16</v>
      </c>
      <c r="D384" s="56">
        <v>42461</v>
      </c>
      <c r="E384" s="56">
        <v>42825</v>
      </c>
      <c r="F384" s="8">
        <v>125305.4</v>
      </c>
      <c r="G384" s="46">
        <v>125305.4</v>
      </c>
      <c r="H384" s="126" t="s">
        <v>1103</v>
      </c>
      <c r="I384" s="156" t="s">
        <v>1882</v>
      </c>
      <c r="J384" s="72"/>
      <c r="K384" s="145"/>
      <c r="M384" s="158"/>
      <c r="N384" s="148"/>
      <c r="O384" s="148"/>
      <c r="P384" s="148"/>
      <c r="Q384" s="148"/>
    </row>
    <row r="385" spans="1:17" s="146" customFormat="1" ht="24" x14ac:dyDescent="0.25">
      <c r="A385" s="127">
        <v>378</v>
      </c>
      <c r="B385" s="60" t="s">
        <v>673</v>
      </c>
      <c r="C385" s="10" t="str">
        <f>"DP-02/9/1-006798/16"</f>
        <v>DP-02/9/1-006798/16</v>
      </c>
      <c r="D385" s="56">
        <v>42450</v>
      </c>
      <c r="E385" s="56">
        <v>43155</v>
      </c>
      <c r="F385" s="8">
        <v>260427.4</v>
      </c>
      <c r="G385" s="46">
        <v>260552</v>
      </c>
      <c r="H385" s="126" t="s">
        <v>1100</v>
      </c>
      <c r="I385" s="156" t="s">
        <v>1883</v>
      </c>
      <c r="J385" s="72"/>
      <c r="K385" s="145"/>
      <c r="M385" s="158"/>
      <c r="N385" s="148"/>
      <c r="O385" s="148"/>
      <c r="P385" s="148"/>
      <c r="Q385" s="148"/>
    </row>
    <row r="386" spans="1:17" s="146" customFormat="1" x14ac:dyDescent="0.25">
      <c r="A386" s="127">
        <v>379</v>
      </c>
      <c r="B386" s="60" t="s">
        <v>989</v>
      </c>
      <c r="C386" s="10" t="str">
        <f>"HP 1/2016"</f>
        <v>HP 1/2016</v>
      </c>
      <c r="D386" s="56">
        <v>42453</v>
      </c>
      <c r="E386" s="56">
        <v>43155</v>
      </c>
      <c r="F386" s="8">
        <v>0</v>
      </c>
      <c r="G386" s="46">
        <v>0</v>
      </c>
      <c r="H386" s="128"/>
      <c r="I386" s="156" t="s">
        <v>1101</v>
      </c>
      <c r="J386" s="72"/>
      <c r="K386" s="145"/>
      <c r="M386" s="158"/>
      <c r="N386" s="148"/>
      <c r="O386" s="148"/>
      <c r="P386" s="148"/>
      <c r="Q386" s="148"/>
    </row>
    <row r="387" spans="1:17" s="146" customFormat="1" ht="24" x14ac:dyDescent="0.25">
      <c r="A387" s="127">
        <v>380</v>
      </c>
      <c r="B387" s="60" t="s">
        <v>490</v>
      </c>
      <c r="C387" s="10" t="str">
        <f>"DP-02/9/2-006601/16"</f>
        <v>DP-02/9/2-006601/16</v>
      </c>
      <c r="D387" s="56">
        <v>42461</v>
      </c>
      <c r="E387" s="56">
        <v>43155</v>
      </c>
      <c r="F387" s="8">
        <v>93173.3</v>
      </c>
      <c r="G387" s="46">
        <v>105728.5</v>
      </c>
      <c r="H387" s="126" t="s">
        <v>1100</v>
      </c>
      <c r="I387" s="156" t="s">
        <v>1884</v>
      </c>
      <c r="J387" s="72"/>
      <c r="K387" s="145"/>
      <c r="M387" s="158"/>
      <c r="N387" s="148"/>
      <c r="O387" s="148"/>
      <c r="P387" s="148"/>
      <c r="Q387" s="148"/>
    </row>
    <row r="388" spans="1:17" s="146" customFormat="1" ht="36" x14ac:dyDescent="0.25">
      <c r="A388" s="127">
        <v>381</v>
      </c>
      <c r="B388" s="60" t="s">
        <v>831</v>
      </c>
      <c r="C388" s="10" t="str">
        <f>"DP-02/9/9-007240/16-1"</f>
        <v>DP-02/9/9-007240/16-1</v>
      </c>
      <c r="D388" s="56">
        <v>42461</v>
      </c>
      <c r="E388" s="59"/>
      <c r="F388" s="8">
        <v>10617.43</v>
      </c>
      <c r="G388" s="46">
        <v>10988.11</v>
      </c>
      <c r="H388" s="126" t="s">
        <v>1100</v>
      </c>
      <c r="I388" s="156" t="s">
        <v>1885</v>
      </c>
      <c r="J388" s="72"/>
      <c r="K388" s="145"/>
      <c r="M388" s="158"/>
      <c r="N388" s="148"/>
      <c r="O388" s="148"/>
      <c r="P388" s="148"/>
      <c r="Q388" s="148"/>
    </row>
    <row r="389" spans="1:17" s="146" customFormat="1" ht="24" x14ac:dyDescent="0.25">
      <c r="A389" s="127">
        <v>382</v>
      </c>
      <c r="B389" s="60" t="s">
        <v>914</v>
      </c>
      <c r="C389" s="10" t="str">
        <f>"I-03/2016"</f>
        <v>I-03/2016</v>
      </c>
      <c r="D389" s="56">
        <v>42461</v>
      </c>
      <c r="E389" s="56">
        <v>43155</v>
      </c>
      <c r="F389" s="8">
        <v>115233.58</v>
      </c>
      <c r="G389" s="46">
        <v>115821.95</v>
      </c>
      <c r="H389" s="126" t="s">
        <v>1100</v>
      </c>
      <c r="I389" s="156" t="s">
        <v>1886</v>
      </c>
      <c r="J389" s="72"/>
      <c r="K389" s="145"/>
      <c r="M389" s="158"/>
      <c r="N389" s="148"/>
      <c r="O389" s="148"/>
      <c r="P389" s="148"/>
      <c r="Q389" s="148"/>
    </row>
    <row r="390" spans="1:17" s="146" customFormat="1" ht="24" x14ac:dyDescent="0.25">
      <c r="A390" s="127">
        <v>383</v>
      </c>
      <c r="B390" s="60" t="s">
        <v>839</v>
      </c>
      <c r="C390" s="10" t="str">
        <f>"002-15"</f>
        <v>002-15</v>
      </c>
      <c r="D390" s="56">
        <v>42461</v>
      </c>
      <c r="E390" s="56">
        <v>43155</v>
      </c>
      <c r="F390" s="8">
        <v>21758.84</v>
      </c>
      <c r="G390" s="46">
        <v>22767.34</v>
      </c>
      <c r="H390" s="126" t="s">
        <v>1100</v>
      </c>
      <c r="I390" s="156" t="s">
        <v>1887</v>
      </c>
      <c r="J390" s="72"/>
      <c r="K390" s="145"/>
      <c r="M390" s="158"/>
      <c r="N390" s="148"/>
      <c r="O390" s="148"/>
      <c r="P390" s="148"/>
      <c r="Q390" s="148"/>
    </row>
    <row r="391" spans="1:17" s="146" customFormat="1" ht="24" x14ac:dyDescent="0.25">
      <c r="A391" s="127">
        <v>384</v>
      </c>
      <c r="B391" s="60" t="s">
        <v>990</v>
      </c>
      <c r="C391" s="10" t="str">
        <f>"DP-02/9/5-6461/16"</f>
        <v>DP-02/9/5-6461/16</v>
      </c>
      <c r="D391" s="56">
        <v>42452</v>
      </c>
      <c r="E391" s="56">
        <v>43155</v>
      </c>
      <c r="F391" s="8">
        <v>216825.54</v>
      </c>
      <c r="G391" s="46">
        <v>216825.54</v>
      </c>
      <c r="H391" s="126" t="s">
        <v>1100</v>
      </c>
      <c r="I391" s="156" t="s">
        <v>1888</v>
      </c>
      <c r="J391" s="72"/>
      <c r="K391" s="145"/>
      <c r="M391" s="158"/>
      <c r="N391" s="148"/>
      <c r="O391" s="148"/>
      <c r="P391" s="148"/>
      <c r="Q391" s="148"/>
    </row>
    <row r="392" spans="1:17" s="146" customFormat="1" ht="24" x14ac:dyDescent="0.25">
      <c r="A392" s="127">
        <v>385</v>
      </c>
      <c r="B392" s="60" t="s">
        <v>667</v>
      </c>
      <c r="C392" s="10" t="str">
        <f>"DP-02/9/2-6551/16"</f>
        <v>DP-02/9/2-6551/16</v>
      </c>
      <c r="D392" s="56">
        <v>42460</v>
      </c>
      <c r="E392" s="56">
        <v>43155</v>
      </c>
      <c r="F392" s="8">
        <v>10702.11</v>
      </c>
      <c r="G392" s="46">
        <v>10702.11</v>
      </c>
      <c r="H392" s="126" t="s">
        <v>1100</v>
      </c>
      <c r="I392" s="156" t="s">
        <v>1889</v>
      </c>
      <c r="J392" s="72"/>
      <c r="K392" s="145"/>
      <c r="M392" s="158"/>
      <c r="N392" s="148"/>
      <c r="O392" s="148"/>
      <c r="P392" s="148"/>
      <c r="Q392" s="148"/>
    </row>
    <row r="393" spans="1:17" s="146" customFormat="1" ht="24" x14ac:dyDescent="0.25">
      <c r="A393" s="127">
        <v>386</v>
      </c>
      <c r="B393" s="60" t="s">
        <v>738</v>
      </c>
      <c r="C393" s="10" t="str">
        <f>"DP-02/9/5-6626/16"</f>
        <v>DP-02/9/5-6626/16</v>
      </c>
      <c r="D393" s="56">
        <v>42454</v>
      </c>
      <c r="E393" s="56">
        <v>43155</v>
      </c>
      <c r="F393" s="8">
        <v>59837.2</v>
      </c>
      <c r="G393" s="46">
        <v>59837.2</v>
      </c>
      <c r="H393" s="126" t="s">
        <v>1100</v>
      </c>
      <c r="I393" s="156" t="s">
        <v>1890</v>
      </c>
      <c r="J393" s="72"/>
      <c r="K393" s="145"/>
      <c r="M393" s="158"/>
      <c r="N393" s="148"/>
      <c r="O393" s="148"/>
      <c r="P393" s="148"/>
      <c r="Q393" s="148"/>
    </row>
    <row r="394" spans="1:17" s="146" customFormat="1" ht="24" x14ac:dyDescent="0.25">
      <c r="A394" s="127">
        <v>387</v>
      </c>
      <c r="B394" s="60" t="s">
        <v>509</v>
      </c>
      <c r="C394" s="10" t="str">
        <f>"DP-02/9/5-007167/16"</f>
        <v>DP-02/9/5-007167/16</v>
      </c>
      <c r="D394" s="56">
        <v>42458</v>
      </c>
      <c r="E394" s="56">
        <v>43155</v>
      </c>
      <c r="F394" s="8">
        <v>820106.14</v>
      </c>
      <c r="G394" s="46">
        <v>820332.49</v>
      </c>
      <c r="H394" s="126" t="s">
        <v>1100</v>
      </c>
      <c r="I394" s="156" t="s">
        <v>1891</v>
      </c>
      <c r="J394" s="72"/>
      <c r="K394" s="145"/>
      <c r="M394" s="158"/>
      <c r="N394" s="148"/>
      <c r="O394" s="148"/>
      <c r="P394" s="148"/>
      <c r="Q394" s="148"/>
    </row>
    <row r="395" spans="1:17" s="146" customFormat="1" ht="24" x14ac:dyDescent="0.25">
      <c r="A395" s="127">
        <v>388</v>
      </c>
      <c r="B395" s="60" t="s">
        <v>833</v>
      </c>
      <c r="C395" s="10" t="str">
        <f>"DP-02/9/6-006699/16"</f>
        <v>DP-02/9/6-006699/16</v>
      </c>
      <c r="D395" s="56">
        <v>42452</v>
      </c>
      <c r="E395" s="56">
        <v>43155</v>
      </c>
      <c r="F395" s="8">
        <v>30638.25</v>
      </c>
      <c r="G395" s="46">
        <v>30638.25</v>
      </c>
      <c r="H395" s="126" t="s">
        <v>1100</v>
      </c>
      <c r="I395" s="156" t="s">
        <v>1892</v>
      </c>
      <c r="J395" s="72"/>
      <c r="K395" s="145"/>
      <c r="M395" s="158"/>
      <c r="N395" s="148"/>
      <c r="O395" s="148"/>
      <c r="P395" s="148"/>
      <c r="Q395" s="148"/>
    </row>
    <row r="396" spans="1:17" s="146" customFormat="1" ht="24" x14ac:dyDescent="0.25">
      <c r="A396" s="127">
        <v>389</v>
      </c>
      <c r="B396" s="60" t="s">
        <v>915</v>
      </c>
      <c r="C396" s="10" t="str">
        <f>"DP-02/9/37080/16"</f>
        <v>DP-02/9/37080/16</v>
      </c>
      <c r="D396" s="56">
        <v>42461</v>
      </c>
      <c r="E396" s="56">
        <v>43155</v>
      </c>
      <c r="F396" s="8">
        <v>167919.41</v>
      </c>
      <c r="G396" s="46">
        <v>167926.55</v>
      </c>
      <c r="H396" s="126" t="s">
        <v>1100</v>
      </c>
      <c r="I396" s="156" t="s">
        <v>1893</v>
      </c>
      <c r="J396" s="72"/>
      <c r="K396" s="145"/>
      <c r="M396" s="158"/>
      <c r="N396" s="148"/>
      <c r="O396" s="148"/>
      <c r="P396" s="148"/>
      <c r="Q396" s="148"/>
    </row>
    <row r="397" spans="1:17" s="146" customFormat="1" ht="24" x14ac:dyDescent="0.25">
      <c r="A397" s="127">
        <v>390</v>
      </c>
      <c r="B397" s="60" t="s">
        <v>198</v>
      </c>
      <c r="C397" s="10" t="str">
        <f>"513-02-1420/14-16-16"</f>
        <v>513-02-1420/14-16-16</v>
      </c>
      <c r="D397" s="56">
        <v>42461</v>
      </c>
      <c r="E397" s="56">
        <v>42825</v>
      </c>
      <c r="F397" s="8">
        <v>1277213.55</v>
      </c>
      <c r="G397" s="46">
        <v>1596516.94</v>
      </c>
      <c r="H397" s="126" t="s">
        <v>1103</v>
      </c>
      <c r="I397" s="156" t="s">
        <v>1894</v>
      </c>
      <c r="J397" s="72"/>
      <c r="K397" s="145"/>
      <c r="M397" s="158"/>
      <c r="N397" s="148"/>
      <c r="O397" s="148"/>
      <c r="P397" s="148"/>
      <c r="Q397" s="148"/>
    </row>
    <row r="398" spans="1:17" s="146" customFormat="1" ht="24" x14ac:dyDescent="0.25">
      <c r="A398" s="127">
        <v>391</v>
      </c>
      <c r="B398" s="60" t="s">
        <v>193</v>
      </c>
      <c r="C398" s="10" t="str">
        <f>"7-15-16-1"</f>
        <v>7-15-16-1</v>
      </c>
      <c r="D398" s="56">
        <v>42461</v>
      </c>
      <c r="E398" s="56">
        <v>42825</v>
      </c>
      <c r="F398" s="8">
        <v>1266493.83</v>
      </c>
      <c r="G398" s="46">
        <v>1268328.08</v>
      </c>
      <c r="H398" s="126" t="s">
        <v>1105</v>
      </c>
      <c r="I398" s="156" t="s">
        <v>1895</v>
      </c>
      <c r="J398" s="72"/>
      <c r="K398" s="145"/>
      <c r="M398" s="158"/>
      <c r="N398" s="148"/>
      <c r="O398" s="148"/>
      <c r="P398" s="148"/>
      <c r="Q398" s="148"/>
    </row>
    <row r="399" spans="1:17" s="146" customFormat="1" ht="24" x14ac:dyDescent="0.25">
      <c r="A399" s="127">
        <v>392</v>
      </c>
      <c r="B399" s="60" t="s">
        <v>830</v>
      </c>
      <c r="C399" s="10" t="str">
        <f>"DP-02/972-7694/16"</f>
        <v>DP-02/972-7694/16</v>
      </c>
      <c r="D399" s="56">
        <v>42461</v>
      </c>
      <c r="E399" s="56">
        <v>43155</v>
      </c>
      <c r="F399" s="8">
        <v>38530.800000000003</v>
      </c>
      <c r="G399" s="46">
        <v>38530.800000000003</v>
      </c>
      <c r="H399" s="126" t="s">
        <v>1100</v>
      </c>
      <c r="I399" s="156" t="s">
        <v>1896</v>
      </c>
      <c r="J399" s="72"/>
      <c r="K399" s="145"/>
      <c r="M399" s="158"/>
      <c r="N399" s="148"/>
      <c r="O399" s="148"/>
      <c r="P399" s="148"/>
      <c r="Q399" s="148"/>
    </row>
    <row r="400" spans="1:17" s="146" customFormat="1" x14ac:dyDescent="0.25">
      <c r="A400" s="127">
        <v>393</v>
      </c>
      <c r="B400" s="60" t="s">
        <v>198</v>
      </c>
      <c r="C400" s="10" t="str">
        <f>"1.4.2016.(14)"</f>
        <v>1.4.2016.(14)</v>
      </c>
      <c r="D400" s="56">
        <v>42461</v>
      </c>
      <c r="E400" s="56">
        <v>42825</v>
      </c>
      <c r="F400" s="8">
        <v>1277213.55</v>
      </c>
      <c r="G400" s="46">
        <v>1277311.55</v>
      </c>
      <c r="H400" s="126" t="s">
        <v>1103</v>
      </c>
      <c r="I400" s="156" t="s">
        <v>1897</v>
      </c>
      <c r="J400" s="72"/>
      <c r="K400" s="145"/>
      <c r="M400" s="158"/>
      <c r="N400" s="148"/>
      <c r="O400" s="148"/>
      <c r="P400" s="148"/>
      <c r="Q400" s="148"/>
    </row>
    <row r="401" spans="1:17" s="146" customFormat="1" ht="24" x14ac:dyDescent="0.25">
      <c r="A401" s="127">
        <v>394</v>
      </c>
      <c r="B401" s="60" t="s">
        <v>569</v>
      </c>
      <c r="C401" s="10" t="str">
        <f>"DP-02/9/3-7179/06"</f>
        <v>DP-02/9/3-7179/06</v>
      </c>
      <c r="D401" s="56">
        <v>42460</v>
      </c>
      <c r="E401" s="56">
        <v>43155</v>
      </c>
      <c r="F401" s="8">
        <v>9377</v>
      </c>
      <c r="G401" s="46">
        <v>9472</v>
      </c>
      <c r="H401" s="126" t="s">
        <v>1100</v>
      </c>
      <c r="I401" s="156" t="s">
        <v>1898</v>
      </c>
      <c r="J401" s="72"/>
      <c r="K401" s="145"/>
      <c r="M401" s="158"/>
      <c r="N401" s="148"/>
      <c r="O401" s="148"/>
      <c r="P401" s="148"/>
      <c r="Q401" s="148"/>
    </row>
    <row r="402" spans="1:17" s="146" customFormat="1" ht="24" x14ac:dyDescent="0.25">
      <c r="A402" s="127">
        <v>395</v>
      </c>
      <c r="B402" s="60" t="s">
        <v>616</v>
      </c>
      <c r="C402" s="10" t="str">
        <f>"DP-02/9/1-006404/16"</f>
        <v>DP-02/9/1-006404/16</v>
      </c>
      <c r="D402" s="56">
        <v>42460</v>
      </c>
      <c r="E402" s="56">
        <v>43155</v>
      </c>
      <c r="F402" s="8">
        <v>2741411.9</v>
      </c>
      <c r="G402" s="46">
        <v>2741679.8</v>
      </c>
      <c r="H402" s="126" t="s">
        <v>1100</v>
      </c>
      <c r="I402" s="156" t="s">
        <v>1899</v>
      </c>
      <c r="J402" s="72"/>
      <c r="K402" s="145"/>
      <c r="M402" s="158"/>
      <c r="N402" s="148"/>
      <c r="O402" s="148"/>
      <c r="P402" s="148"/>
      <c r="Q402" s="148"/>
    </row>
    <row r="403" spans="1:17" s="146" customFormat="1" ht="24" x14ac:dyDescent="0.25">
      <c r="A403" s="127">
        <v>396</v>
      </c>
      <c r="B403" s="60" t="s">
        <v>991</v>
      </c>
      <c r="C403" s="10" t="str">
        <f>"DP-02/9/2-006672/16"</f>
        <v>DP-02/9/2-006672/16</v>
      </c>
      <c r="D403" s="56">
        <v>42467</v>
      </c>
      <c r="E403" s="56">
        <v>43155</v>
      </c>
      <c r="F403" s="8">
        <v>15387</v>
      </c>
      <c r="G403" s="46">
        <v>19233.75</v>
      </c>
      <c r="H403" s="126" t="s">
        <v>1100</v>
      </c>
      <c r="I403" s="156" t="s">
        <v>1900</v>
      </c>
      <c r="J403" s="72"/>
      <c r="K403" s="145"/>
      <c r="M403" s="158"/>
      <c r="N403" s="148"/>
      <c r="O403" s="148"/>
      <c r="P403" s="148"/>
      <c r="Q403" s="148"/>
    </row>
    <row r="404" spans="1:17" s="146" customFormat="1" ht="36" x14ac:dyDescent="0.25">
      <c r="A404" s="127">
        <v>397</v>
      </c>
      <c r="B404" s="60" t="s">
        <v>807</v>
      </c>
      <c r="C404" s="10" t="str">
        <f>"2/2016"</f>
        <v>2/2016</v>
      </c>
      <c r="D404" s="56">
        <v>42424</v>
      </c>
      <c r="E404" s="56">
        <v>43155</v>
      </c>
      <c r="F404" s="8">
        <v>45886.9</v>
      </c>
      <c r="G404" s="46">
        <v>45886.9</v>
      </c>
      <c r="H404" s="126" t="s">
        <v>1102</v>
      </c>
      <c r="I404" s="156" t="s">
        <v>1901</v>
      </c>
      <c r="J404" s="72"/>
      <c r="K404" s="145"/>
      <c r="M404" s="158"/>
      <c r="N404" s="148"/>
      <c r="O404" s="148"/>
      <c r="P404" s="148"/>
      <c r="Q404" s="148"/>
    </row>
    <row r="405" spans="1:17" s="146" customFormat="1" ht="24" x14ac:dyDescent="0.25">
      <c r="A405" s="127">
        <v>398</v>
      </c>
      <c r="B405" s="60" t="s">
        <v>823</v>
      </c>
      <c r="C405" s="10" t="str">
        <f>"15/2016"</f>
        <v>15/2016</v>
      </c>
      <c r="D405" s="56">
        <v>42459</v>
      </c>
      <c r="E405" s="56">
        <v>43155</v>
      </c>
      <c r="F405" s="8">
        <v>0</v>
      </c>
      <c r="G405" s="46">
        <v>0</v>
      </c>
      <c r="H405" s="126" t="s">
        <v>1100</v>
      </c>
      <c r="I405" s="156" t="s">
        <v>1902</v>
      </c>
      <c r="J405" s="72"/>
      <c r="K405" s="145"/>
      <c r="M405" s="158"/>
      <c r="N405" s="148"/>
      <c r="O405" s="148"/>
      <c r="P405" s="148"/>
      <c r="Q405" s="148"/>
    </row>
    <row r="406" spans="1:17" s="146" customFormat="1" ht="36" x14ac:dyDescent="0.25">
      <c r="A406" s="127">
        <v>399</v>
      </c>
      <c r="B406" s="60" t="s">
        <v>711</v>
      </c>
      <c r="C406" s="10" t="str">
        <f>"PU/2016"</f>
        <v>PU/2016</v>
      </c>
      <c r="D406" s="56">
        <v>42459</v>
      </c>
      <c r="E406" s="56">
        <v>43155</v>
      </c>
      <c r="F406" s="8">
        <v>298958.3</v>
      </c>
      <c r="G406" s="46">
        <v>299116.75</v>
      </c>
      <c r="H406" s="126" t="s">
        <v>1100</v>
      </c>
      <c r="I406" s="156" t="s">
        <v>1903</v>
      </c>
      <c r="J406" s="72"/>
      <c r="K406" s="145"/>
      <c r="M406" s="158"/>
      <c r="N406" s="148"/>
      <c r="O406" s="148"/>
      <c r="P406" s="148"/>
      <c r="Q406" s="148"/>
    </row>
    <row r="407" spans="1:17" s="146" customFormat="1" ht="36" x14ac:dyDescent="0.25">
      <c r="A407" s="127">
        <v>400</v>
      </c>
      <c r="B407" s="60" t="s">
        <v>960</v>
      </c>
      <c r="C407" s="10" t="str">
        <f>"406-09/16-01/8"</f>
        <v>406-09/16-01/8</v>
      </c>
      <c r="D407" s="56">
        <v>42459</v>
      </c>
      <c r="E407" s="56">
        <v>43155</v>
      </c>
      <c r="F407" s="8">
        <v>93323.4</v>
      </c>
      <c r="G407" s="46">
        <v>95815.2</v>
      </c>
      <c r="H407" s="126" t="s">
        <v>1100</v>
      </c>
      <c r="I407" s="156" t="s">
        <v>1904</v>
      </c>
      <c r="J407" s="72"/>
      <c r="K407" s="145"/>
      <c r="M407" s="158"/>
      <c r="N407" s="148"/>
      <c r="O407" s="148"/>
      <c r="P407" s="148"/>
      <c r="Q407" s="148"/>
    </row>
    <row r="408" spans="1:17" s="146" customFormat="1" ht="36" x14ac:dyDescent="0.25">
      <c r="A408" s="127">
        <v>401</v>
      </c>
      <c r="B408" s="60" t="s">
        <v>191</v>
      </c>
      <c r="C408" s="10" t="str">
        <f>"KLASA:406-01/15-01/201,URBR.6"</f>
        <v>KLASA:406-01/15-01/201,URBR.6</v>
      </c>
      <c r="D408" s="56">
        <v>42458</v>
      </c>
      <c r="E408" s="56">
        <v>42823</v>
      </c>
      <c r="F408" s="8">
        <v>400806</v>
      </c>
      <c r="G408" s="46">
        <v>401206.4</v>
      </c>
      <c r="H408" s="126" t="s">
        <v>1103</v>
      </c>
      <c r="I408" s="156" t="s">
        <v>1905</v>
      </c>
      <c r="J408" s="72"/>
      <c r="K408" s="145"/>
      <c r="M408" s="158"/>
      <c r="N408" s="148"/>
      <c r="O408" s="148"/>
      <c r="P408" s="148"/>
      <c r="Q408" s="148"/>
    </row>
    <row r="409" spans="1:17" s="146" customFormat="1" ht="24" x14ac:dyDescent="0.25">
      <c r="A409" s="127">
        <v>402</v>
      </c>
      <c r="B409" s="60" t="s">
        <v>836</v>
      </c>
      <c r="C409" s="10" t="str">
        <f>"DP-02/9/4-006738/16"</f>
        <v>DP-02/9/4-006738/16</v>
      </c>
      <c r="D409" s="56">
        <v>42458</v>
      </c>
      <c r="E409" s="56">
        <v>43155</v>
      </c>
      <c r="F409" s="8">
        <v>8963.1200000000008</v>
      </c>
      <c r="G409" s="46">
        <v>9072.4</v>
      </c>
      <c r="H409" s="126" t="s">
        <v>1100</v>
      </c>
      <c r="I409" s="156" t="s">
        <v>1906</v>
      </c>
      <c r="J409" s="72"/>
      <c r="K409" s="145"/>
      <c r="M409" s="158"/>
      <c r="N409" s="148"/>
      <c r="O409" s="148"/>
      <c r="P409" s="148"/>
      <c r="Q409" s="148"/>
    </row>
    <row r="410" spans="1:17" s="146" customFormat="1" ht="24" x14ac:dyDescent="0.25">
      <c r="A410" s="127">
        <v>403</v>
      </c>
      <c r="B410" s="60" t="s">
        <v>494</v>
      </c>
      <c r="C410" s="10" t="str">
        <f>"DP-02/9/4-006734/16"</f>
        <v>DP-02/9/4-006734/16</v>
      </c>
      <c r="D410" s="56">
        <v>42453</v>
      </c>
      <c r="E410" s="56">
        <v>42794</v>
      </c>
      <c r="F410" s="8">
        <v>0</v>
      </c>
      <c r="G410" s="46">
        <v>0</v>
      </c>
      <c r="H410" s="126" t="s">
        <v>1507</v>
      </c>
      <c r="I410" s="156" t="s">
        <v>1907</v>
      </c>
      <c r="J410" s="72"/>
      <c r="K410" s="145"/>
      <c r="M410" s="158"/>
      <c r="N410" s="148"/>
      <c r="O410" s="148"/>
      <c r="P410" s="148"/>
      <c r="Q410" s="148"/>
    </row>
    <row r="411" spans="1:17" s="146" customFormat="1" ht="24" x14ac:dyDescent="0.25">
      <c r="A411" s="127">
        <v>404</v>
      </c>
      <c r="B411" s="60" t="s">
        <v>961</v>
      </c>
      <c r="C411" s="10" t="str">
        <f>"031-06/16-01/1"</f>
        <v>031-06/16-01/1</v>
      </c>
      <c r="D411" s="56">
        <v>42458</v>
      </c>
      <c r="E411" s="59"/>
      <c r="F411" s="8">
        <v>15834.9</v>
      </c>
      <c r="G411" s="46">
        <v>15834.9</v>
      </c>
      <c r="H411" s="126" t="s">
        <v>1100</v>
      </c>
      <c r="I411" s="156" t="s">
        <v>1908</v>
      </c>
      <c r="J411" s="72"/>
      <c r="K411" s="145"/>
      <c r="M411" s="158"/>
      <c r="N411" s="148"/>
      <c r="O411" s="148"/>
      <c r="P411" s="148"/>
      <c r="Q411" s="148"/>
    </row>
    <row r="412" spans="1:17" s="146" customFormat="1" x14ac:dyDescent="0.25">
      <c r="A412" s="127">
        <v>405</v>
      </c>
      <c r="B412" s="60" t="s">
        <v>992</v>
      </c>
      <c r="C412" s="10" t="str">
        <f>"252-42/03-16"</f>
        <v>252-42/03-16</v>
      </c>
      <c r="D412" s="56">
        <v>42458</v>
      </c>
      <c r="E412" s="56">
        <v>43155</v>
      </c>
      <c r="F412" s="8">
        <v>571970</v>
      </c>
      <c r="G412" s="46">
        <v>714962.5</v>
      </c>
      <c r="H412" s="126" t="s">
        <v>1100</v>
      </c>
      <c r="I412" s="156" t="s">
        <v>1909</v>
      </c>
      <c r="J412" s="72"/>
      <c r="K412" s="145"/>
      <c r="M412" s="158"/>
      <c r="N412" s="148"/>
      <c r="O412" s="148"/>
      <c r="P412" s="148"/>
      <c r="Q412" s="148"/>
    </row>
    <row r="413" spans="1:17" s="146" customFormat="1" ht="24" x14ac:dyDescent="0.25">
      <c r="A413" s="127">
        <v>406</v>
      </c>
      <c r="B413" s="60" t="s">
        <v>746</v>
      </c>
      <c r="C413" s="10" t="str">
        <f>"41 SU-132/2016"</f>
        <v>41 SU-132/2016</v>
      </c>
      <c r="D413" s="56">
        <v>42458</v>
      </c>
      <c r="E413" s="56">
        <v>43188</v>
      </c>
      <c r="F413" s="8">
        <v>570340.01</v>
      </c>
      <c r="G413" s="46">
        <v>571336.19999999995</v>
      </c>
      <c r="H413" s="126" t="s">
        <v>1100</v>
      </c>
      <c r="I413" s="156" t="s">
        <v>1910</v>
      </c>
      <c r="J413" s="72"/>
      <c r="K413" s="145"/>
      <c r="M413" s="158"/>
      <c r="N413" s="148"/>
      <c r="O413" s="148"/>
      <c r="P413" s="148"/>
      <c r="Q413" s="148"/>
    </row>
    <row r="414" spans="1:17" s="146" customFormat="1" ht="24" x14ac:dyDescent="0.25">
      <c r="A414" s="127">
        <v>407</v>
      </c>
      <c r="B414" s="60" t="s">
        <v>993</v>
      </c>
      <c r="C414" s="10" t="str">
        <f>"A-54/2016"</f>
        <v>A-54/2016</v>
      </c>
      <c r="D414" s="56">
        <v>42458</v>
      </c>
      <c r="E414" s="56">
        <v>43155</v>
      </c>
      <c r="F414" s="8">
        <v>30538</v>
      </c>
      <c r="G414" s="46">
        <v>38172.5</v>
      </c>
      <c r="H414" s="126" t="s">
        <v>1100</v>
      </c>
      <c r="I414" s="156" t="s">
        <v>1911</v>
      </c>
      <c r="J414" s="72"/>
      <c r="K414" s="145"/>
      <c r="M414" s="158"/>
      <c r="N414" s="148"/>
      <c r="O414" s="148"/>
      <c r="P414" s="148"/>
      <c r="Q414" s="148"/>
    </row>
    <row r="415" spans="1:17" s="146" customFormat="1" ht="24" x14ac:dyDescent="0.25">
      <c r="A415" s="127">
        <v>408</v>
      </c>
      <c r="B415" s="60" t="s">
        <v>706</v>
      </c>
      <c r="C415" s="10" t="str">
        <f>"DP-02/9/5-006266/16"</f>
        <v>DP-02/9/5-006266/16</v>
      </c>
      <c r="D415" s="56">
        <v>42454</v>
      </c>
      <c r="E415" s="56">
        <v>43155</v>
      </c>
      <c r="F415" s="8">
        <v>14095</v>
      </c>
      <c r="G415" s="46">
        <v>17618.75</v>
      </c>
      <c r="H415" s="126" t="s">
        <v>1100</v>
      </c>
      <c r="I415" s="156" t="s">
        <v>1912</v>
      </c>
      <c r="J415" s="72"/>
      <c r="K415" s="145"/>
      <c r="M415" s="158"/>
      <c r="N415" s="148"/>
      <c r="O415" s="148"/>
      <c r="P415" s="148"/>
      <c r="Q415" s="148"/>
    </row>
    <row r="416" spans="1:17" s="146" customFormat="1" ht="24" x14ac:dyDescent="0.25">
      <c r="A416" s="127">
        <v>409</v>
      </c>
      <c r="B416" s="60" t="s">
        <v>540</v>
      </c>
      <c r="C416" s="10" t="str">
        <f>"UG-MV016"</f>
        <v>UG-MV016</v>
      </c>
      <c r="D416" s="118">
        <v>42447</v>
      </c>
      <c r="E416" s="118">
        <v>42812</v>
      </c>
      <c r="F416" s="121">
        <v>146473.4</v>
      </c>
      <c r="G416" s="155">
        <v>150834.01</v>
      </c>
      <c r="H416" s="126" t="s">
        <v>1518</v>
      </c>
      <c r="I416" s="156" t="s">
        <v>1913</v>
      </c>
      <c r="J416" s="72"/>
      <c r="K416" s="145"/>
      <c r="M416" s="158"/>
      <c r="N416" s="148"/>
      <c r="O416" s="148"/>
      <c r="P416" s="148"/>
      <c r="Q416" s="148"/>
    </row>
    <row r="417" spans="1:17" s="146" customFormat="1" ht="24" x14ac:dyDescent="0.25">
      <c r="A417" s="127">
        <v>410</v>
      </c>
      <c r="B417" s="60" t="s">
        <v>917</v>
      </c>
      <c r="C417" s="10" t="str">
        <f>"DP-02/9/3-7086/16"</f>
        <v>DP-02/9/3-7086/16</v>
      </c>
      <c r="D417" s="56">
        <v>42454</v>
      </c>
      <c r="E417" s="56">
        <v>43183</v>
      </c>
      <c r="F417" s="8">
        <v>101344</v>
      </c>
      <c r="G417" s="46">
        <v>101344</v>
      </c>
      <c r="H417" s="126" t="s">
        <v>1100</v>
      </c>
      <c r="I417" s="156" t="s">
        <v>1914</v>
      </c>
      <c r="J417" s="72"/>
      <c r="K417" s="145"/>
      <c r="M417" s="158"/>
      <c r="N417" s="148"/>
      <c r="O417" s="148"/>
      <c r="P417" s="148"/>
      <c r="Q417" s="148"/>
    </row>
    <row r="418" spans="1:17" s="146" customFormat="1" ht="24" x14ac:dyDescent="0.25">
      <c r="A418" s="127">
        <v>411</v>
      </c>
      <c r="B418" s="60" t="s">
        <v>925</v>
      </c>
      <c r="C418" s="10" t="str">
        <f>"DP-02/9/2-006560/16"</f>
        <v>DP-02/9/2-006560/16</v>
      </c>
      <c r="D418" s="56">
        <v>42454</v>
      </c>
      <c r="E418" s="56">
        <v>43155</v>
      </c>
      <c r="F418" s="8">
        <v>110909.2</v>
      </c>
      <c r="G418" s="46">
        <v>110978.2</v>
      </c>
      <c r="H418" s="126" t="s">
        <v>1100</v>
      </c>
      <c r="I418" s="156" t="s">
        <v>1915</v>
      </c>
      <c r="J418" s="72"/>
      <c r="K418" s="145"/>
      <c r="M418" s="158"/>
      <c r="N418" s="148"/>
      <c r="O418" s="148"/>
      <c r="P418" s="148"/>
      <c r="Q418" s="148"/>
    </row>
    <row r="419" spans="1:17" s="146" customFormat="1" ht="24" x14ac:dyDescent="0.25">
      <c r="A419" s="127">
        <v>412</v>
      </c>
      <c r="B419" s="60" t="s">
        <v>866</v>
      </c>
      <c r="C419" s="10" t="str">
        <f>"DP-02/9/5-006859/16"</f>
        <v>DP-02/9/5-006859/16</v>
      </c>
      <c r="D419" s="56">
        <v>42454</v>
      </c>
      <c r="E419" s="56">
        <v>43155</v>
      </c>
      <c r="F419" s="8">
        <v>100238.04</v>
      </c>
      <c r="G419" s="46">
        <v>125297.55</v>
      </c>
      <c r="H419" s="126" t="s">
        <v>1100</v>
      </c>
      <c r="I419" s="156" t="s">
        <v>1916</v>
      </c>
      <c r="J419" s="72"/>
      <c r="K419" s="145"/>
      <c r="M419" s="158"/>
      <c r="N419" s="148"/>
      <c r="O419" s="148"/>
      <c r="P419" s="148"/>
      <c r="Q419" s="148"/>
    </row>
    <row r="420" spans="1:17" s="146" customFormat="1" ht="24" x14ac:dyDescent="0.25">
      <c r="A420" s="127">
        <v>413</v>
      </c>
      <c r="B420" s="60" t="s">
        <v>563</v>
      </c>
      <c r="C420" s="10" t="str">
        <f>"02-10/16"</f>
        <v>02-10/16</v>
      </c>
      <c r="D420" s="56">
        <v>42454</v>
      </c>
      <c r="E420" s="56">
        <v>43155</v>
      </c>
      <c r="F420" s="8">
        <v>330380.90000000002</v>
      </c>
      <c r="G420" s="46">
        <v>412976.13</v>
      </c>
      <c r="H420" s="126" t="s">
        <v>1100</v>
      </c>
      <c r="I420" s="156" t="s">
        <v>1917</v>
      </c>
      <c r="J420" s="72"/>
      <c r="K420" s="145"/>
      <c r="M420" s="158"/>
      <c r="N420" s="148"/>
      <c r="O420" s="148"/>
      <c r="P420" s="148"/>
      <c r="Q420" s="148"/>
    </row>
    <row r="421" spans="1:17" s="146" customFormat="1" ht="24" x14ac:dyDescent="0.25">
      <c r="A421" s="127">
        <v>414</v>
      </c>
      <c r="B421" s="60" t="s">
        <v>596</v>
      </c>
      <c r="C421" s="10" t="str">
        <f>"DP-02/9/2-006258/16"</f>
        <v>DP-02/9/2-006258/16</v>
      </c>
      <c r="D421" s="56">
        <v>42453</v>
      </c>
      <c r="E421" s="56">
        <v>42818</v>
      </c>
      <c r="F421" s="8">
        <v>29999.4</v>
      </c>
      <c r="G421" s="46">
        <v>30048.799999999999</v>
      </c>
      <c r="H421" s="126" t="s">
        <v>1519</v>
      </c>
      <c r="I421" s="156" t="s">
        <v>1918</v>
      </c>
      <c r="J421" s="72"/>
      <c r="K421" s="145"/>
      <c r="M421" s="158"/>
      <c r="N421" s="148"/>
      <c r="O421" s="148"/>
      <c r="P421" s="148"/>
      <c r="Q421" s="148"/>
    </row>
    <row r="422" spans="1:17" s="146" customFormat="1" x14ac:dyDescent="0.25">
      <c r="A422" s="127">
        <v>415</v>
      </c>
      <c r="B422" s="60" t="s">
        <v>897</v>
      </c>
      <c r="C422" s="10" t="str">
        <f>"01-105/1-16"</f>
        <v>01-105/1-16</v>
      </c>
      <c r="D422" s="56">
        <v>42453</v>
      </c>
      <c r="E422" s="56">
        <v>43155</v>
      </c>
      <c r="F422" s="8">
        <v>4360</v>
      </c>
      <c r="G422" s="46">
        <v>5450</v>
      </c>
      <c r="H422" s="126" t="s">
        <v>1100</v>
      </c>
      <c r="I422" s="156" t="s">
        <v>1919</v>
      </c>
      <c r="J422" s="72"/>
      <c r="K422" s="145"/>
      <c r="M422" s="158"/>
      <c r="N422" s="148"/>
      <c r="O422" s="148"/>
      <c r="P422" s="148"/>
      <c r="Q422" s="148"/>
    </row>
    <row r="423" spans="1:17" s="146" customFormat="1" ht="24" x14ac:dyDescent="0.25">
      <c r="A423" s="127">
        <v>416</v>
      </c>
      <c r="B423" s="60" t="s">
        <v>573</v>
      </c>
      <c r="C423" s="10" t="str">
        <f>"030-01/16-04/6-2-11"</f>
        <v>030-01/16-04/6-2-11</v>
      </c>
      <c r="D423" s="56">
        <v>42453</v>
      </c>
      <c r="E423" s="56">
        <v>43155</v>
      </c>
      <c r="F423" s="8">
        <v>1700</v>
      </c>
      <c r="G423" s="46">
        <v>2125</v>
      </c>
      <c r="H423" s="164"/>
      <c r="I423" s="171" t="s">
        <v>1101</v>
      </c>
      <c r="J423" s="72"/>
      <c r="K423" s="145"/>
      <c r="M423" s="158"/>
      <c r="N423" s="148"/>
      <c r="O423" s="148"/>
      <c r="P423" s="148"/>
      <c r="Q423" s="148"/>
    </row>
    <row r="424" spans="1:17" s="146" customFormat="1" ht="24" x14ac:dyDescent="0.25">
      <c r="A424" s="127">
        <v>417</v>
      </c>
      <c r="B424" s="60" t="s">
        <v>648</v>
      </c>
      <c r="C424" s="10" t="str">
        <f>"DP-02/9/6-006901/16"</f>
        <v>DP-02/9/6-006901/16</v>
      </c>
      <c r="D424" s="56">
        <v>42452</v>
      </c>
      <c r="E424" s="56">
        <v>43155</v>
      </c>
      <c r="F424" s="8">
        <v>51308.35</v>
      </c>
      <c r="G424" s="46">
        <v>64135.44</v>
      </c>
      <c r="H424" s="126" t="s">
        <v>1100</v>
      </c>
      <c r="I424" s="156" t="s">
        <v>1920</v>
      </c>
      <c r="J424" s="72"/>
      <c r="K424" s="145"/>
      <c r="M424" s="158"/>
      <c r="N424" s="148"/>
      <c r="O424" s="148"/>
      <c r="P424" s="148"/>
      <c r="Q424" s="148"/>
    </row>
    <row r="425" spans="1:17" s="146" customFormat="1" ht="24" x14ac:dyDescent="0.25">
      <c r="A425" s="127">
        <v>418</v>
      </c>
      <c r="B425" s="60" t="s">
        <v>642</v>
      </c>
      <c r="C425" s="10" t="str">
        <f>"DP-02/9/5-006285/16"</f>
        <v>DP-02/9/5-006285/16</v>
      </c>
      <c r="D425" s="56">
        <v>42452</v>
      </c>
      <c r="E425" s="56">
        <v>43155</v>
      </c>
      <c r="F425" s="8">
        <v>127395.95</v>
      </c>
      <c r="G425" s="46">
        <v>159244.94</v>
      </c>
      <c r="H425" s="126" t="s">
        <v>1100</v>
      </c>
      <c r="I425" s="156" t="s">
        <v>1921</v>
      </c>
      <c r="J425" s="72"/>
      <c r="K425" s="145"/>
      <c r="M425" s="158"/>
      <c r="N425" s="148"/>
      <c r="O425" s="148"/>
      <c r="P425" s="148"/>
      <c r="Q425" s="148"/>
    </row>
    <row r="426" spans="1:17" s="146" customFormat="1" ht="24" x14ac:dyDescent="0.25">
      <c r="A426" s="127">
        <v>419</v>
      </c>
      <c r="B426" s="60" t="s">
        <v>633</v>
      </c>
      <c r="C426" s="10" t="str">
        <f>"DP-02/9/5-006987/16"</f>
        <v>DP-02/9/5-006987/16</v>
      </c>
      <c r="D426" s="56">
        <v>42446</v>
      </c>
      <c r="E426" s="56">
        <v>43155</v>
      </c>
      <c r="F426" s="8">
        <v>1619.5</v>
      </c>
      <c r="G426" s="46">
        <v>1643.5</v>
      </c>
      <c r="H426" s="126" t="s">
        <v>1100</v>
      </c>
      <c r="I426" s="156" t="s">
        <v>1922</v>
      </c>
      <c r="J426" s="149"/>
      <c r="K426" s="148"/>
      <c r="M426" s="158"/>
      <c r="N426" s="148"/>
      <c r="O426" s="148"/>
      <c r="P426" s="148"/>
      <c r="Q426" s="148"/>
    </row>
    <row r="427" spans="1:17" s="146" customFormat="1" ht="24" x14ac:dyDescent="0.25">
      <c r="A427" s="127">
        <v>420</v>
      </c>
      <c r="B427" s="60" t="s">
        <v>507</v>
      </c>
      <c r="C427" s="10" t="str">
        <f>"DP-02/9/4-006753/16"</f>
        <v>DP-02/9/4-006753/16</v>
      </c>
      <c r="D427" s="56">
        <v>42452</v>
      </c>
      <c r="E427" s="56">
        <v>43155</v>
      </c>
      <c r="F427" s="8">
        <v>10279.459999999999</v>
      </c>
      <c r="G427" s="46">
        <v>12849.33</v>
      </c>
      <c r="H427" s="126" t="s">
        <v>1100</v>
      </c>
      <c r="I427" s="156" t="s">
        <v>1923</v>
      </c>
      <c r="J427" s="149"/>
      <c r="K427" s="148"/>
      <c r="M427" s="158"/>
      <c r="N427" s="148"/>
      <c r="O427" s="148"/>
      <c r="P427" s="148"/>
      <c r="Q427" s="148"/>
    </row>
    <row r="428" spans="1:17" s="146" customFormat="1" ht="24" x14ac:dyDescent="0.25">
      <c r="A428" s="127">
        <v>421</v>
      </c>
      <c r="B428" s="60" t="s">
        <v>493</v>
      </c>
      <c r="C428" s="10" t="str">
        <f>"DP-02/9/4-006737/16"</f>
        <v>DP-02/9/4-006737/16</v>
      </c>
      <c r="D428" s="56">
        <v>42452</v>
      </c>
      <c r="E428" s="56">
        <v>43155</v>
      </c>
      <c r="F428" s="8">
        <v>427799.76</v>
      </c>
      <c r="G428" s="46">
        <v>427948.9</v>
      </c>
      <c r="H428" s="126" t="s">
        <v>1100</v>
      </c>
      <c r="I428" s="156" t="s">
        <v>1924</v>
      </c>
      <c r="J428" s="149"/>
      <c r="K428" s="148"/>
      <c r="M428" s="158"/>
      <c r="N428" s="148"/>
      <c r="O428" s="148"/>
      <c r="P428" s="148"/>
      <c r="Q428" s="148"/>
    </row>
    <row r="429" spans="1:17" s="146" customFormat="1" x14ac:dyDescent="0.25">
      <c r="A429" s="127">
        <v>422</v>
      </c>
      <c r="B429" s="60" t="s">
        <v>604</v>
      </c>
      <c r="C429" s="10" t="str">
        <f>"17-SU-276/16"</f>
        <v>17-SU-276/16</v>
      </c>
      <c r="D429" s="56">
        <v>42451</v>
      </c>
      <c r="E429" s="56">
        <v>43155</v>
      </c>
      <c r="F429" s="8">
        <v>84177.5</v>
      </c>
      <c r="G429" s="46">
        <v>84177.5</v>
      </c>
      <c r="H429" s="126" t="s">
        <v>1100</v>
      </c>
      <c r="I429" s="156" t="s">
        <v>1925</v>
      </c>
      <c r="J429" s="149"/>
      <c r="K429" s="148"/>
      <c r="M429" s="158"/>
      <c r="N429" s="148"/>
      <c r="O429" s="148"/>
      <c r="P429" s="148"/>
      <c r="Q429" s="148"/>
    </row>
    <row r="430" spans="1:17" s="146" customFormat="1" x14ac:dyDescent="0.25">
      <c r="A430" s="127">
        <v>423</v>
      </c>
      <c r="B430" s="60" t="s">
        <v>624</v>
      </c>
      <c r="C430" s="10" t="str">
        <f>"71"</f>
        <v>71</v>
      </c>
      <c r="D430" s="56">
        <v>42451</v>
      </c>
      <c r="E430" s="56">
        <v>43155</v>
      </c>
      <c r="F430" s="8">
        <v>5871.14</v>
      </c>
      <c r="G430" s="46">
        <v>7338.93</v>
      </c>
      <c r="H430" s="126" t="s">
        <v>1100</v>
      </c>
      <c r="I430" s="156" t="s">
        <v>1926</v>
      </c>
      <c r="J430" s="149"/>
      <c r="K430" s="148"/>
      <c r="M430" s="158"/>
      <c r="N430" s="148"/>
      <c r="O430" s="148"/>
      <c r="P430" s="148"/>
      <c r="Q430" s="148"/>
    </row>
    <row r="431" spans="1:17" s="146" customFormat="1" ht="24" x14ac:dyDescent="0.25">
      <c r="A431" s="127">
        <v>424</v>
      </c>
      <c r="B431" s="60" t="s">
        <v>688</v>
      </c>
      <c r="C431" s="10" t="str">
        <f>"41 SU-316/15-12"</f>
        <v>41 SU-316/15-12</v>
      </c>
      <c r="D431" s="56">
        <v>42450</v>
      </c>
      <c r="E431" s="56">
        <v>43155</v>
      </c>
      <c r="F431" s="8">
        <v>224150.14</v>
      </c>
      <c r="G431" s="46">
        <v>224697.85</v>
      </c>
      <c r="H431" s="126" t="s">
        <v>1100</v>
      </c>
      <c r="I431" s="156" t="s">
        <v>1927</v>
      </c>
      <c r="J431" s="149"/>
      <c r="K431" s="148"/>
      <c r="M431" s="158"/>
      <c r="N431" s="148"/>
      <c r="O431" s="148"/>
      <c r="P431" s="148"/>
      <c r="Q431" s="148"/>
    </row>
    <row r="432" spans="1:17" s="146" customFormat="1" ht="24" x14ac:dyDescent="0.25">
      <c r="A432" s="127">
        <v>425</v>
      </c>
      <c r="B432" s="60" t="s">
        <v>516</v>
      </c>
      <c r="C432" s="10" t="str">
        <f>"92/2016"</f>
        <v>92/2016</v>
      </c>
      <c r="D432" s="56">
        <v>42450</v>
      </c>
      <c r="E432" s="56">
        <v>43155</v>
      </c>
      <c r="F432" s="8">
        <v>100780.32</v>
      </c>
      <c r="G432" s="46">
        <v>100888.96000000001</v>
      </c>
      <c r="H432" s="126" t="s">
        <v>1100</v>
      </c>
      <c r="I432" s="156" t="s">
        <v>1928</v>
      </c>
      <c r="J432" s="149"/>
      <c r="K432" s="148"/>
      <c r="M432" s="158"/>
      <c r="N432" s="148"/>
      <c r="O432" s="148"/>
      <c r="P432" s="148"/>
      <c r="Q432" s="148"/>
    </row>
    <row r="433" spans="1:17" s="146" customFormat="1" x14ac:dyDescent="0.25">
      <c r="A433" s="127">
        <v>426</v>
      </c>
      <c r="B433" s="60" t="s">
        <v>759</v>
      </c>
      <c r="C433" s="10" t="str">
        <f>"HP-2016"</f>
        <v>HP-2016</v>
      </c>
      <c r="D433" s="56">
        <v>42450</v>
      </c>
      <c r="E433" s="56">
        <v>43155</v>
      </c>
      <c r="F433" s="8">
        <v>3538.5</v>
      </c>
      <c r="G433" s="46">
        <v>3538.5</v>
      </c>
      <c r="H433" s="126" t="s">
        <v>1100</v>
      </c>
      <c r="I433" s="156" t="s">
        <v>1929</v>
      </c>
      <c r="J433" s="149"/>
      <c r="K433" s="148"/>
      <c r="M433" s="158"/>
      <c r="N433" s="148"/>
      <c r="O433" s="148"/>
      <c r="P433" s="148"/>
      <c r="Q433" s="148"/>
    </row>
    <row r="434" spans="1:17" s="146" customFormat="1" ht="24" x14ac:dyDescent="0.25">
      <c r="A434" s="127">
        <v>427</v>
      </c>
      <c r="B434" s="60" t="s">
        <v>497</v>
      </c>
      <c r="C434" s="10" t="str">
        <f>"17 SU-159/2016"</f>
        <v>17 SU-159/2016</v>
      </c>
      <c r="D434" s="56">
        <v>42424</v>
      </c>
      <c r="E434" s="56">
        <v>43155</v>
      </c>
      <c r="F434" s="8">
        <v>69585.179999999993</v>
      </c>
      <c r="G434" s="46">
        <v>69920.42</v>
      </c>
      <c r="H434" s="126" t="s">
        <v>1100</v>
      </c>
      <c r="I434" s="156" t="s">
        <v>1930</v>
      </c>
      <c r="J434" s="149"/>
      <c r="K434" s="148"/>
      <c r="M434" s="158"/>
      <c r="N434" s="148"/>
      <c r="O434" s="148"/>
      <c r="P434" s="148"/>
      <c r="Q434" s="148"/>
    </row>
    <row r="435" spans="1:17" s="146" customFormat="1" ht="24" x14ac:dyDescent="0.25">
      <c r="A435" s="127">
        <v>428</v>
      </c>
      <c r="B435" s="60" t="s">
        <v>880</v>
      </c>
      <c r="C435" s="10" t="str">
        <f>"DP-02/9/2-007765/16"</f>
        <v>DP-02/9/2-007765/16</v>
      </c>
      <c r="D435" s="56">
        <v>42450</v>
      </c>
      <c r="E435" s="56">
        <v>43180</v>
      </c>
      <c r="F435" s="8">
        <v>52000</v>
      </c>
      <c r="G435" s="46">
        <v>65000</v>
      </c>
      <c r="H435" s="126" t="s">
        <v>1100</v>
      </c>
      <c r="I435" s="156" t="s">
        <v>1931</v>
      </c>
      <c r="J435" s="149"/>
      <c r="K435" s="148"/>
      <c r="M435" s="158"/>
      <c r="N435" s="148"/>
      <c r="O435" s="148"/>
      <c r="P435" s="148"/>
      <c r="Q435" s="148"/>
    </row>
    <row r="436" spans="1:17" s="146" customFormat="1" ht="24" x14ac:dyDescent="0.25">
      <c r="A436" s="127">
        <v>429</v>
      </c>
      <c r="B436" s="60" t="s">
        <v>521</v>
      </c>
      <c r="C436" s="10" t="str">
        <f>"344-08/16-01/01"</f>
        <v>344-08/16-01/01</v>
      </c>
      <c r="D436" s="56">
        <v>42447</v>
      </c>
      <c r="E436" s="56">
        <v>43155</v>
      </c>
      <c r="F436" s="8">
        <v>45460.41</v>
      </c>
      <c r="G436" s="46">
        <v>46206.05</v>
      </c>
      <c r="H436" s="126" t="s">
        <v>1100</v>
      </c>
      <c r="I436" s="156" t="s">
        <v>1932</v>
      </c>
      <c r="J436" s="149"/>
      <c r="K436" s="148"/>
      <c r="M436" s="158"/>
      <c r="N436" s="148"/>
      <c r="O436" s="148"/>
      <c r="P436" s="148"/>
      <c r="Q436" s="148"/>
    </row>
    <row r="437" spans="1:17" s="146" customFormat="1" ht="24" x14ac:dyDescent="0.25">
      <c r="A437" s="127">
        <v>430</v>
      </c>
      <c r="B437" s="60" t="s">
        <v>732</v>
      </c>
      <c r="C437" s="10" t="str">
        <f>"124/2016"</f>
        <v>124/2016</v>
      </c>
      <c r="D437" s="56">
        <v>42445</v>
      </c>
      <c r="E437" s="56">
        <v>43155</v>
      </c>
      <c r="F437" s="8">
        <v>1746587.52</v>
      </c>
      <c r="G437" s="46">
        <v>1757349.02</v>
      </c>
      <c r="H437" s="126" t="s">
        <v>1100</v>
      </c>
      <c r="I437" s="156" t="s">
        <v>1101</v>
      </c>
      <c r="J437" s="149"/>
      <c r="K437" s="148"/>
      <c r="M437" s="158"/>
      <c r="N437" s="148"/>
      <c r="O437" s="148"/>
      <c r="P437" s="148"/>
      <c r="Q437" s="148"/>
    </row>
    <row r="438" spans="1:17" s="146" customFormat="1" ht="24" x14ac:dyDescent="0.25">
      <c r="A438" s="127">
        <v>431</v>
      </c>
      <c r="B438" s="60" t="s">
        <v>197</v>
      </c>
      <c r="C438" s="10" t="str">
        <f>"U014/16"</f>
        <v>U014/16</v>
      </c>
      <c r="D438" s="56">
        <v>42431</v>
      </c>
      <c r="E438" s="56">
        <v>43155</v>
      </c>
      <c r="F438" s="8">
        <v>425440.94</v>
      </c>
      <c r="G438" s="46">
        <v>428063.7</v>
      </c>
      <c r="H438" s="126" t="s">
        <v>1100</v>
      </c>
      <c r="I438" s="156" t="s">
        <v>1933</v>
      </c>
      <c r="J438" s="149"/>
      <c r="K438" s="148"/>
      <c r="M438" s="158"/>
      <c r="N438" s="148"/>
      <c r="O438" s="148"/>
      <c r="P438" s="148"/>
      <c r="Q438" s="148"/>
    </row>
    <row r="439" spans="1:17" s="146" customFormat="1" ht="24" x14ac:dyDescent="0.25">
      <c r="A439" s="127">
        <v>432</v>
      </c>
      <c r="B439" s="60" t="s">
        <v>743</v>
      </c>
      <c r="C439" s="10" t="str">
        <f>"DP-02/9/1-006237/16"</f>
        <v>DP-02/9/1-006237/16</v>
      </c>
      <c r="D439" s="56">
        <v>42482</v>
      </c>
      <c r="E439" s="56">
        <v>43155</v>
      </c>
      <c r="F439" s="8">
        <v>184351</v>
      </c>
      <c r="G439" s="46">
        <v>184743</v>
      </c>
      <c r="H439" s="126" t="s">
        <v>1100</v>
      </c>
      <c r="I439" s="156" t="s">
        <v>1934</v>
      </c>
      <c r="J439" s="149"/>
      <c r="K439" s="148"/>
      <c r="M439" s="158"/>
      <c r="N439" s="148"/>
      <c r="O439" s="148"/>
      <c r="P439" s="148"/>
      <c r="Q439" s="148"/>
    </row>
    <row r="440" spans="1:17" s="146" customFormat="1" ht="24" x14ac:dyDescent="0.25">
      <c r="A440" s="127">
        <v>433</v>
      </c>
      <c r="B440" s="60" t="s">
        <v>671</v>
      </c>
      <c r="C440" s="10" t="str">
        <f>"DP-02-032505/15"</f>
        <v>DP-02-032505/15</v>
      </c>
      <c r="D440" s="56">
        <v>42424</v>
      </c>
      <c r="E440" s="56">
        <v>43155</v>
      </c>
      <c r="F440" s="8">
        <v>85316.800000000003</v>
      </c>
      <c r="G440" s="46">
        <v>85516.800000000003</v>
      </c>
      <c r="H440" s="126" t="s">
        <v>1100</v>
      </c>
      <c r="I440" s="156" t="s">
        <v>1935</v>
      </c>
      <c r="J440" s="149"/>
      <c r="K440" s="148"/>
      <c r="M440" s="158"/>
      <c r="N440" s="148"/>
      <c r="O440" s="148"/>
      <c r="P440" s="148"/>
      <c r="Q440" s="148"/>
    </row>
    <row r="441" spans="1:17" s="146" customFormat="1" ht="24" x14ac:dyDescent="0.25">
      <c r="A441" s="127">
        <v>434</v>
      </c>
      <c r="B441" s="60" t="s">
        <v>682</v>
      </c>
      <c r="C441" s="10" t="str">
        <f>"DP-02/9/1-006797/16"</f>
        <v>DP-02/9/1-006797/16</v>
      </c>
      <c r="D441" s="56">
        <v>42472</v>
      </c>
      <c r="E441" s="56">
        <v>43155</v>
      </c>
      <c r="F441" s="8">
        <v>860402.51</v>
      </c>
      <c r="G441" s="46">
        <v>864648</v>
      </c>
      <c r="H441" s="126" t="s">
        <v>1100</v>
      </c>
      <c r="I441" s="156" t="s">
        <v>1936</v>
      </c>
      <c r="J441" s="149"/>
      <c r="K441" s="148"/>
      <c r="M441" s="158"/>
      <c r="N441" s="148"/>
      <c r="O441" s="148"/>
      <c r="P441" s="148"/>
      <c r="Q441" s="148"/>
    </row>
    <row r="442" spans="1:17" s="146" customFormat="1" ht="24" x14ac:dyDescent="0.25">
      <c r="A442" s="127">
        <v>435</v>
      </c>
      <c r="B442" s="60" t="s">
        <v>491</v>
      </c>
      <c r="C442" s="10" t="str">
        <f>"DP-02/9/1-006224/16"</f>
        <v>DP-02/9/1-006224/16</v>
      </c>
      <c r="D442" s="56">
        <v>42450</v>
      </c>
      <c r="E442" s="56">
        <v>43155</v>
      </c>
      <c r="F442" s="8">
        <v>41737.699999999997</v>
      </c>
      <c r="G442" s="46">
        <v>52172.13</v>
      </c>
      <c r="H442" s="126" t="s">
        <v>1100</v>
      </c>
      <c r="I442" s="156" t="s">
        <v>1937</v>
      </c>
      <c r="J442" s="149"/>
      <c r="K442" s="148"/>
      <c r="M442" s="158"/>
      <c r="N442" s="148"/>
      <c r="O442" s="148"/>
      <c r="P442" s="148"/>
      <c r="Q442" s="148"/>
    </row>
    <row r="443" spans="1:17" s="146" customFormat="1" x14ac:dyDescent="0.25">
      <c r="A443" s="127">
        <v>436</v>
      </c>
      <c r="B443" s="60" t="s">
        <v>593</v>
      </c>
      <c r="C443" s="10" t="str">
        <f>"A-206/2011"</f>
        <v>A-206/2011</v>
      </c>
      <c r="D443" s="56">
        <v>42438</v>
      </c>
      <c r="E443" s="56">
        <v>43155</v>
      </c>
      <c r="F443" s="8">
        <v>216875.8</v>
      </c>
      <c r="G443" s="46">
        <v>217310.8</v>
      </c>
      <c r="H443" s="126" t="s">
        <v>1100</v>
      </c>
      <c r="I443" s="156" t="s">
        <v>1938</v>
      </c>
      <c r="J443" s="149"/>
      <c r="K443" s="148"/>
      <c r="M443" s="158"/>
      <c r="N443" s="148"/>
      <c r="O443" s="148"/>
      <c r="P443" s="148"/>
      <c r="Q443" s="148"/>
    </row>
    <row r="444" spans="1:17" s="146" customFormat="1" x14ac:dyDescent="0.25">
      <c r="A444" s="127">
        <v>437</v>
      </c>
      <c r="B444" s="60" t="s">
        <v>883</v>
      </c>
      <c r="C444" s="10" t="str">
        <f>"62/16"</f>
        <v>62/16</v>
      </c>
      <c r="D444" s="56">
        <v>42921</v>
      </c>
      <c r="E444" s="56">
        <v>43155</v>
      </c>
      <c r="F444" s="8">
        <v>139512.9</v>
      </c>
      <c r="G444" s="46">
        <v>157220.6</v>
      </c>
      <c r="H444" s="126" t="s">
        <v>1100</v>
      </c>
      <c r="I444" s="156" t="s">
        <v>1939</v>
      </c>
      <c r="J444" s="149"/>
      <c r="K444" s="148"/>
      <c r="M444" s="158"/>
      <c r="N444" s="148"/>
      <c r="O444" s="148"/>
      <c r="P444" s="148"/>
      <c r="Q444" s="148"/>
    </row>
    <row r="445" spans="1:17" s="146" customFormat="1" ht="24" x14ac:dyDescent="0.25">
      <c r="A445" s="127">
        <v>438</v>
      </c>
      <c r="B445" s="60" t="s">
        <v>190</v>
      </c>
      <c r="C445" s="10" t="str">
        <f>"503/2016"</f>
        <v>503/2016</v>
      </c>
      <c r="D445" s="56">
        <v>42451</v>
      </c>
      <c r="E445" s="56">
        <v>43155</v>
      </c>
      <c r="F445" s="8">
        <v>399666.8</v>
      </c>
      <c r="G445" s="46">
        <v>400242.6</v>
      </c>
      <c r="H445" s="126" t="s">
        <v>1100</v>
      </c>
      <c r="I445" s="156" t="s">
        <v>1940</v>
      </c>
      <c r="J445" s="149"/>
      <c r="K445" s="148"/>
      <c r="M445" s="158"/>
      <c r="N445" s="148"/>
      <c r="O445" s="148"/>
      <c r="P445" s="148"/>
      <c r="Q445" s="148"/>
    </row>
    <row r="446" spans="1:17" s="146" customFormat="1" ht="24" x14ac:dyDescent="0.25">
      <c r="A446" s="127">
        <v>439</v>
      </c>
      <c r="B446" s="60" t="s">
        <v>662</v>
      </c>
      <c r="C446" s="10" t="str">
        <f>"DP-02/9/1-006348/16"</f>
        <v>DP-02/9/1-006348/16</v>
      </c>
      <c r="D446" s="56">
        <v>42450</v>
      </c>
      <c r="E446" s="56">
        <v>43100</v>
      </c>
      <c r="F446" s="8">
        <v>18788.849999999999</v>
      </c>
      <c r="G446" s="46">
        <v>23486.06</v>
      </c>
      <c r="H446" s="126" t="s">
        <v>1102</v>
      </c>
      <c r="I446" s="156" t="s">
        <v>1941</v>
      </c>
      <c r="J446" s="149"/>
      <c r="K446" s="148"/>
      <c r="M446" s="158"/>
      <c r="N446" s="148"/>
      <c r="O446" s="148"/>
      <c r="P446" s="148"/>
      <c r="Q446" s="148"/>
    </row>
    <row r="447" spans="1:17" s="146" customFormat="1" x14ac:dyDescent="0.25">
      <c r="A447" s="127">
        <v>440</v>
      </c>
      <c r="B447" s="60" t="s">
        <v>492</v>
      </c>
      <c r="C447" s="10" t="str">
        <f>"15-2015"</f>
        <v>15-2015</v>
      </c>
      <c r="D447" s="56">
        <v>42447</v>
      </c>
      <c r="E447" s="56">
        <v>43155</v>
      </c>
      <c r="F447" s="8">
        <v>4716.3</v>
      </c>
      <c r="G447" s="46">
        <v>4733.97</v>
      </c>
      <c r="H447" s="126" t="s">
        <v>1100</v>
      </c>
      <c r="I447" s="156" t="s">
        <v>1942</v>
      </c>
      <c r="J447" s="149"/>
      <c r="K447" s="148"/>
      <c r="M447" s="158"/>
      <c r="N447" s="148"/>
      <c r="O447" s="148"/>
      <c r="P447" s="148"/>
      <c r="Q447" s="148"/>
    </row>
    <row r="448" spans="1:17" s="146" customFormat="1" ht="24" x14ac:dyDescent="0.25">
      <c r="A448" s="127">
        <v>441</v>
      </c>
      <c r="B448" s="60" t="s">
        <v>765</v>
      </c>
      <c r="C448" s="10" t="str">
        <f>"DP-02/9/1-006598/16"</f>
        <v>DP-02/9/1-006598/16</v>
      </c>
      <c r="D448" s="56">
        <v>42454</v>
      </c>
      <c r="E448" s="56">
        <v>43155</v>
      </c>
      <c r="F448" s="8">
        <v>15143.15</v>
      </c>
      <c r="G448" s="46">
        <v>17973.36</v>
      </c>
      <c r="H448" s="126" t="s">
        <v>1100</v>
      </c>
      <c r="I448" s="156" t="s">
        <v>1943</v>
      </c>
      <c r="J448" s="149"/>
      <c r="K448" s="148"/>
      <c r="M448" s="158"/>
      <c r="N448" s="148"/>
      <c r="O448" s="148"/>
      <c r="P448" s="148"/>
      <c r="Q448" s="148"/>
    </row>
    <row r="449" spans="1:17" s="146" customFormat="1" ht="24" x14ac:dyDescent="0.25">
      <c r="A449" s="127">
        <v>442</v>
      </c>
      <c r="B449" s="60" t="s">
        <v>659</v>
      </c>
      <c r="C449" s="10" t="str">
        <f>"DP-02/9/1-006308/16"</f>
        <v>DP-02/9/1-006308/16</v>
      </c>
      <c r="D449" s="56">
        <v>42450</v>
      </c>
      <c r="E449" s="56">
        <v>43155</v>
      </c>
      <c r="F449" s="8">
        <v>91232.16</v>
      </c>
      <c r="G449" s="46">
        <v>114040.2</v>
      </c>
      <c r="H449" s="126" t="s">
        <v>1100</v>
      </c>
      <c r="I449" s="156" t="s">
        <v>1944</v>
      </c>
      <c r="J449" s="149"/>
      <c r="K449" s="148"/>
      <c r="M449" s="158"/>
      <c r="N449" s="148"/>
      <c r="O449" s="148"/>
      <c r="P449" s="148"/>
      <c r="Q449" s="148"/>
    </row>
    <row r="450" spans="1:17" s="146" customFormat="1" ht="24" x14ac:dyDescent="0.25">
      <c r="A450" s="127">
        <v>443</v>
      </c>
      <c r="B450" s="60" t="s">
        <v>722</v>
      </c>
      <c r="C450" s="10" t="str">
        <f>"5630-04/2016-5"</f>
        <v>5630-04/2016-5</v>
      </c>
      <c r="D450" s="56">
        <v>42450</v>
      </c>
      <c r="E450" s="56">
        <v>43155</v>
      </c>
      <c r="F450" s="8">
        <v>172355.7</v>
      </c>
      <c r="G450" s="46">
        <v>172355.7</v>
      </c>
      <c r="H450" s="126" t="s">
        <v>1100</v>
      </c>
      <c r="I450" s="156" t="s">
        <v>1945</v>
      </c>
      <c r="J450" s="149"/>
      <c r="K450" s="148"/>
      <c r="M450" s="158"/>
      <c r="N450" s="148"/>
      <c r="O450" s="148"/>
      <c r="P450" s="148"/>
      <c r="Q450" s="148"/>
    </row>
    <row r="451" spans="1:17" s="146" customFormat="1" ht="24" x14ac:dyDescent="0.25">
      <c r="A451" s="127">
        <v>444</v>
      </c>
      <c r="B451" s="60" t="s">
        <v>589</v>
      </c>
      <c r="C451" s="10" t="str">
        <f>"HP"</f>
        <v>HP</v>
      </c>
      <c r="D451" s="56">
        <v>42569</v>
      </c>
      <c r="E451" s="56">
        <v>42795</v>
      </c>
      <c r="F451" s="8">
        <v>599385.30000000005</v>
      </c>
      <c r="G451" s="46">
        <v>599385.30000000005</v>
      </c>
      <c r="H451" s="126" t="s">
        <v>1100</v>
      </c>
      <c r="I451" s="156" t="s">
        <v>1946</v>
      </c>
      <c r="J451" s="149"/>
      <c r="K451" s="148"/>
      <c r="M451" s="158"/>
      <c r="N451" s="148"/>
      <c r="O451" s="148"/>
      <c r="P451" s="148"/>
      <c r="Q451" s="148"/>
    </row>
    <row r="452" spans="1:17" s="146" customFormat="1" x14ac:dyDescent="0.25">
      <c r="A452" s="127">
        <v>445</v>
      </c>
      <c r="B452" s="60" t="s">
        <v>920</v>
      </c>
      <c r="C452" s="10" t="str">
        <f>"378-16-13"</f>
        <v>378-16-13</v>
      </c>
      <c r="D452" s="56">
        <v>42566</v>
      </c>
      <c r="E452" s="56">
        <v>43336</v>
      </c>
      <c r="F452" s="8">
        <v>57881.1</v>
      </c>
      <c r="G452" s="46">
        <v>72351.38</v>
      </c>
      <c r="H452" s="126" t="s">
        <v>1100</v>
      </c>
      <c r="I452" s="156" t="s">
        <v>1947</v>
      </c>
      <c r="J452" s="149"/>
      <c r="K452" s="148"/>
      <c r="M452" s="158"/>
      <c r="N452" s="148"/>
      <c r="O452" s="148"/>
      <c r="P452" s="148"/>
      <c r="Q452" s="148"/>
    </row>
    <row r="453" spans="1:17" s="146" customFormat="1" ht="24" x14ac:dyDescent="0.25">
      <c r="A453" s="127">
        <v>446</v>
      </c>
      <c r="B453" s="60" t="s">
        <v>618</v>
      </c>
      <c r="C453" s="10" t="str">
        <f>"DP-02/9/1-006407/16"</f>
        <v>DP-02/9/1-006407/16</v>
      </c>
      <c r="D453" s="56">
        <v>42440</v>
      </c>
      <c r="E453" s="56">
        <v>43155</v>
      </c>
      <c r="F453" s="8">
        <v>651718.1</v>
      </c>
      <c r="G453" s="46">
        <v>651740.30000000005</v>
      </c>
      <c r="H453" s="126" t="s">
        <v>1100</v>
      </c>
      <c r="I453" s="156" t="s">
        <v>1948</v>
      </c>
      <c r="J453" s="149"/>
      <c r="K453" s="148"/>
      <c r="M453" s="158"/>
      <c r="N453" s="148"/>
      <c r="O453" s="148"/>
      <c r="P453" s="148"/>
      <c r="Q453" s="148"/>
    </row>
    <row r="454" spans="1:17" s="146" customFormat="1" ht="24" x14ac:dyDescent="0.25">
      <c r="A454" s="127">
        <v>447</v>
      </c>
      <c r="B454" s="60" t="s">
        <v>617</v>
      </c>
      <c r="C454" s="10" t="str">
        <f>"DP-02/9/1-006406/16"</f>
        <v>DP-02/9/1-006406/16</v>
      </c>
      <c r="D454" s="56">
        <v>42445</v>
      </c>
      <c r="E454" s="56">
        <v>43155</v>
      </c>
      <c r="F454" s="8">
        <v>227618.76</v>
      </c>
      <c r="G454" s="46">
        <v>227639.2</v>
      </c>
      <c r="H454" s="126" t="s">
        <v>1100</v>
      </c>
      <c r="I454" s="156" t="s">
        <v>1949</v>
      </c>
      <c r="J454" s="149"/>
      <c r="K454" s="148"/>
      <c r="M454" s="158"/>
      <c r="N454" s="148"/>
      <c r="O454" s="148"/>
      <c r="P454" s="148"/>
      <c r="Q454" s="148"/>
    </row>
    <row r="455" spans="1:17" s="146" customFormat="1" x14ac:dyDescent="0.25">
      <c r="A455" s="127">
        <v>448</v>
      </c>
      <c r="B455" s="60" t="s">
        <v>621</v>
      </c>
      <c r="C455" s="10" t="str">
        <f>"41 SU-76/16"</f>
        <v>41 SU-76/16</v>
      </c>
      <c r="D455" s="56">
        <v>42461</v>
      </c>
      <c r="E455" s="56">
        <v>43159</v>
      </c>
      <c r="F455" s="8">
        <v>516925.96</v>
      </c>
      <c r="G455" s="46">
        <v>516925.96</v>
      </c>
      <c r="H455" s="126" t="s">
        <v>1100</v>
      </c>
      <c r="I455" s="156" t="s">
        <v>1950</v>
      </c>
      <c r="J455" s="149"/>
      <c r="K455" s="148"/>
      <c r="M455" s="158"/>
      <c r="N455" s="148"/>
      <c r="O455" s="148"/>
      <c r="P455" s="148"/>
      <c r="Q455" s="148"/>
    </row>
    <row r="456" spans="1:17" s="146" customFormat="1" ht="24" x14ac:dyDescent="0.25">
      <c r="A456" s="127">
        <v>449</v>
      </c>
      <c r="B456" s="60" t="s">
        <v>903</v>
      </c>
      <c r="C456" s="10" t="str">
        <f>"344-02/16-01/1"</f>
        <v>344-02/16-01/1</v>
      </c>
      <c r="D456" s="56">
        <v>42443</v>
      </c>
      <c r="E456" s="56">
        <v>43155</v>
      </c>
      <c r="F456" s="8">
        <v>43698.879999999997</v>
      </c>
      <c r="G456" s="46">
        <v>44844.2</v>
      </c>
      <c r="H456" s="126" t="s">
        <v>1100</v>
      </c>
      <c r="I456" s="156" t="s">
        <v>1951</v>
      </c>
      <c r="J456" s="149"/>
      <c r="K456" s="148"/>
      <c r="M456" s="158"/>
      <c r="N456" s="148"/>
      <c r="O456" s="148"/>
      <c r="P456" s="148"/>
      <c r="Q456" s="148"/>
    </row>
    <row r="457" spans="1:17" s="146" customFormat="1" ht="24" x14ac:dyDescent="0.25">
      <c r="A457" s="127">
        <v>450</v>
      </c>
      <c r="B457" s="60" t="s">
        <v>698</v>
      </c>
      <c r="C457" s="10" t="str">
        <f>"DP-02/9/4-006858/16"</f>
        <v>DP-02/9/4-006858/16</v>
      </c>
      <c r="D457" s="56">
        <v>42424</v>
      </c>
      <c r="E457" s="56">
        <v>43155</v>
      </c>
      <c r="F457" s="8">
        <v>65396</v>
      </c>
      <c r="G457" s="46">
        <v>65468</v>
      </c>
      <c r="H457" s="126" t="s">
        <v>1100</v>
      </c>
      <c r="I457" s="156" t="s">
        <v>1952</v>
      </c>
      <c r="J457" s="149"/>
      <c r="K457" s="148"/>
      <c r="M457" s="158"/>
      <c r="N457" s="148"/>
      <c r="O457" s="148"/>
      <c r="P457" s="148"/>
      <c r="Q457" s="148"/>
    </row>
    <row r="458" spans="1:17" s="146" customFormat="1" x14ac:dyDescent="0.25">
      <c r="A458" s="127">
        <v>451</v>
      </c>
      <c r="B458" s="60" t="s">
        <v>549</v>
      </c>
      <c r="C458" s="10" t="str">
        <f>"41-SU362/17-1"</f>
        <v>41-SU362/17-1</v>
      </c>
      <c r="D458" s="56">
        <v>42790</v>
      </c>
      <c r="E458" s="56">
        <v>43155</v>
      </c>
      <c r="F458" s="8">
        <v>3700000</v>
      </c>
      <c r="G458" s="46">
        <v>3703200</v>
      </c>
      <c r="H458" s="126" t="s">
        <v>1100</v>
      </c>
      <c r="I458" s="156" t="s">
        <v>1953</v>
      </c>
      <c r="J458" s="149"/>
      <c r="K458" s="148"/>
      <c r="M458" s="158"/>
      <c r="N458" s="148"/>
      <c r="O458" s="148"/>
      <c r="P458" s="148"/>
      <c r="Q458" s="148"/>
    </row>
    <row r="459" spans="1:17" s="146" customFormat="1" ht="24" x14ac:dyDescent="0.25">
      <c r="A459" s="127">
        <v>452</v>
      </c>
      <c r="B459" s="60" t="s">
        <v>547</v>
      </c>
      <c r="C459" s="10" t="str">
        <f>"DP-02-032505/15"</f>
        <v>DP-02-032505/15</v>
      </c>
      <c r="D459" s="56">
        <v>42424</v>
      </c>
      <c r="E459" s="56">
        <v>43155</v>
      </c>
      <c r="F459" s="8">
        <v>9004.8799999999992</v>
      </c>
      <c r="G459" s="46">
        <v>11256.1</v>
      </c>
      <c r="H459" s="126" t="s">
        <v>1100</v>
      </c>
      <c r="I459" s="156" t="s">
        <v>1954</v>
      </c>
      <c r="J459" s="149"/>
      <c r="K459" s="148"/>
      <c r="M459" s="158"/>
      <c r="N459" s="148"/>
      <c r="O459" s="148"/>
      <c r="P459" s="148"/>
      <c r="Q459" s="148"/>
    </row>
    <row r="460" spans="1:17" s="146" customFormat="1" ht="24" x14ac:dyDescent="0.25">
      <c r="A460" s="127">
        <v>453</v>
      </c>
      <c r="B460" s="60" t="s">
        <v>528</v>
      </c>
      <c r="C460" s="10" t="str">
        <f>"DP-02/9/1-007248/16"</f>
        <v>DP-02/9/1-007248/16</v>
      </c>
      <c r="D460" s="56">
        <v>42424</v>
      </c>
      <c r="E460" s="56">
        <v>43155</v>
      </c>
      <c r="F460" s="8">
        <v>121711.52</v>
      </c>
      <c r="G460" s="46">
        <v>122553.84</v>
      </c>
      <c r="H460" s="126" t="s">
        <v>1102</v>
      </c>
      <c r="I460" s="156" t="s">
        <v>1955</v>
      </c>
      <c r="J460" s="149"/>
      <c r="K460" s="148"/>
      <c r="M460" s="158"/>
      <c r="N460" s="148"/>
      <c r="O460" s="148"/>
      <c r="P460" s="148"/>
      <c r="Q460" s="148"/>
    </row>
    <row r="461" spans="1:17" s="146" customFormat="1" ht="24" x14ac:dyDescent="0.25">
      <c r="A461" s="127">
        <v>454</v>
      </c>
      <c r="B461" s="60" t="s">
        <v>853</v>
      </c>
      <c r="C461" s="10" t="str">
        <f>"HP-01-2016"</f>
        <v>HP-01-2016</v>
      </c>
      <c r="D461" s="56">
        <v>42515</v>
      </c>
      <c r="E461" s="56">
        <v>43155</v>
      </c>
      <c r="F461" s="8">
        <v>39585.050000000003</v>
      </c>
      <c r="G461" s="46">
        <v>39605.49</v>
      </c>
      <c r="H461" s="126" t="s">
        <v>1100</v>
      </c>
      <c r="I461" s="156" t="s">
        <v>1956</v>
      </c>
      <c r="J461" s="149"/>
      <c r="K461" s="148"/>
      <c r="M461" s="158"/>
      <c r="N461" s="148"/>
      <c r="O461" s="148"/>
      <c r="P461" s="148"/>
      <c r="Q461" s="148"/>
    </row>
    <row r="462" spans="1:17" s="146" customFormat="1" ht="24" x14ac:dyDescent="0.25">
      <c r="A462" s="127">
        <v>455</v>
      </c>
      <c r="B462" s="60" t="s">
        <v>812</v>
      </c>
      <c r="C462" s="10" t="str">
        <f>"DP-02/9/2-7117/16"</f>
        <v>DP-02/9/2-7117/16</v>
      </c>
      <c r="D462" s="56">
        <v>42424</v>
      </c>
      <c r="E462" s="56">
        <v>42790</v>
      </c>
      <c r="F462" s="8">
        <v>65008.14</v>
      </c>
      <c r="G462" s="46">
        <v>65055.64</v>
      </c>
      <c r="H462" s="126" t="s">
        <v>1511</v>
      </c>
      <c r="I462" s="156" t="s">
        <v>1957</v>
      </c>
      <c r="J462" s="149"/>
      <c r="K462" s="148"/>
      <c r="M462" s="158"/>
      <c r="N462" s="148"/>
      <c r="O462" s="148"/>
      <c r="P462" s="148"/>
      <c r="Q462" s="148"/>
    </row>
    <row r="463" spans="1:17" s="146" customFormat="1" ht="36" x14ac:dyDescent="0.25">
      <c r="A463" s="127">
        <v>456</v>
      </c>
      <c r="B463" s="60" t="s">
        <v>742</v>
      </c>
      <c r="C463" s="10" t="str">
        <f>"DP-02/9/1-006935/16"</f>
        <v>DP-02/9/1-006935/16</v>
      </c>
      <c r="D463" s="56">
        <v>42538</v>
      </c>
      <c r="E463" s="56">
        <v>43155</v>
      </c>
      <c r="F463" s="8">
        <v>264984.40000000002</v>
      </c>
      <c r="G463" s="46">
        <v>265358.40000000002</v>
      </c>
      <c r="H463" s="126" t="s">
        <v>1100</v>
      </c>
      <c r="I463" s="156" t="s">
        <v>1958</v>
      </c>
      <c r="J463" s="149"/>
      <c r="K463" s="148"/>
      <c r="M463" s="158"/>
      <c r="N463" s="148"/>
      <c r="O463" s="148"/>
      <c r="P463" s="148"/>
      <c r="Q463" s="148"/>
    </row>
    <row r="464" spans="1:17" s="146" customFormat="1" ht="24" x14ac:dyDescent="0.25">
      <c r="A464" s="127">
        <v>457</v>
      </c>
      <c r="B464" s="60" t="s">
        <v>804</v>
      </c>
      <c r="C464" s="10" t="str">
        <f>"DP-02/9/5-008253/16"</f>
        <v>DP-02/9/5-008253/16</v>
      </c>
      <c r="D464" s="56">
        <v>42471</v>
      </c>
      <c r="E464" s="56">
        <v>43155</v>
      </c>
      <c r="F464" s="8">
        <v>4167.12</v>
      </c>
      <c r="G464" s="46">
        <v>5208.8999999999996</v>
      </c>
      <c r="H464" s="126" t="s">
        <v>1100</v>
      </c>
      <c r="I464" s="156" t="s">
        <v>1959</v>
      </c>
      <c r="J464" s="149"/>
      <c r="K464" s="148"/>
      <c r="M464" s="158"/>
      <c r="N464" s="148"/>
      <c r="O464" s="148"/>
      <c r="P464" s="148"/>
      <c r="Q464" s="148"/>
    </row>
    <row r="465" spans="1:17" s="146" customFormat="1" ht="24" x14ac:dyDescent="0.25">
      <c r="A465" s="127">
        <v>458</v>
      </c>
      <c r="B465" s="60" t="s">
        <v>788</v>
      </c>
      <c r="C465" s="10" t="str">
        <f>"DP-02/9/4-006923/16-4"</f>
        <v>DP-02/9/4-006923/16-4</v>
      </c>
      <c r="D465" s="56">
        <v>42529</v>
      </c>
      <c r="E465" s="56">
        <v>43155</v>
      </c>
      <c r="F465" s="8">
        <v>83229.7</v>
      </c>
      <c r="G465" s="46">
        <v>104037.13</v>
      </c>
      <c r="H465" s="126" t="s">
        <v>1100</v>
      </c>
      <c r="I465" s="156" t="s">
        <v>1960</v>
      </c>
      <c r="J465" s="149"/>
      <c r="K465" s="148"/>
      <c r="M465" s="158"/>
      <c r="N465" s="148"/>
      <c r="O465" s="148"/>
      <c r="P465" s="148"/>
      <c r="Q465" s="148"/>
    </row>
    <row r="466" spans="1:17" s="146" customFormat="1" ht="24" x14ac:dyDescent="0.25">
      <c r="A466" s="127">
        <v>459</v>
      </c>
      <c r="B466" s="60" t="s">
        <v>498</v>
      </c>
      <c r="C466" s="10" t="str">
        <f>"DP-02/9/1-007481/16"</f>
        <v>DP-02/9/1-007481/16</v>
      </c>
      <c r="D466" s="56">
        <v>42458</v>
      </c>
      <c r="E466" s="56">
        <v>43155</v>
      </c>
      <c r="F466" s="8">
        <v>10747.5</v>
      </c>
      <c r="G466" s="46">
        <v>10747.5</v>
      </c>
      <c r="H466" s="126" t="s">
        <v>1100</v>
      </c>
      <c r="I466" s="156" t="s">
        <v>1961</v>
      </c>
      <c r="J466" s="149"/>
      <c r="K466" s="148"/>
      <c r="M466" s="158"/>
      <c r="N466" s="148"/>
      <c r="O466" s="148"/>
      <c r="P466" s="148"/>
      <c r="Q466" s="148"/>
    </row>
    <row r="467" spans="1:17" s="146" customFormat="1" ht="36" x14ac:dyDescent="0.25">
      <c r="A467" s="127">
        <v>460</v>
      </c>
      <c r="B467" s="60" t="s">
        <v>741</v>
      </c>
      <c r="C467" s="10" t="str">
        <f>"DP 02/9/1"</f>
        <v>DP 02/9/1</v>
      </c>
      <c r="D467" s="56">
        <v>42424</v>
      </c>
      <c r="E467" s="56">
        <v>43155</v>
      </c>
      <c r="F467" s="8">
        <v>5858.5</v>
      </c>
      <c r="G467" s="46">
        <v>5858.5</v>
      </c>
      <c r="H467" s="126" t="s">
        <v>1100</v>
      </c>
      <c r="I467" s="156" t="s">
        <v>1962</v>
      </c>
      <c r="J467" s="149"/>
      <c r="K467" s="148"/>
      <c r="M467" s="158"/>
      <c r="N467" s="148"/>
      <c r="O467" s="148"/>
      <c r="P467" s="148"/>
      <c r="Q467" s="148"/>
    </row>
    <row r="468" spans="1:17" s="146" customFormat="1" ht="24" x14ac:dyDescent="0.25">
      <c r="A468" s="127">
        <v>461</v>
      </c>
      <c r="B468" s="60" t="s">
        <v>557</v>
      </c>
      <c r="C468" s="10" t="str">
        <f>"15/2015-1"</f>
        <v>15/2015-1</v>
      </c>
      <c r="D468" s="56">
        <v>42424</v>
      </c>
      <c r="E468" s="56">
        <v>43155</v>
      </c>
      <c r="F468" s="8">
        <v>500073.78</v>
      </c>
      <c r="G468" s="46">
        <v>625092.23</v>
      </c>
      <c r="H468" s="126" t="s">
        <v>1100</v>
      </c>
      <c r="I468" s="156" t="s">
        <v>1963</v>
      </c>
      <c r="J468" s="149"/>
      <c r="K468" s="148"/>
      <c r="M468" s="158"/>
      <c r="N468" s="148"/>
      <c r="O468" s="148"/>
      <c r="P468" s="148"/>
      <c r="Q468" s="148"/>
    </row>
    <row r="469" spans="1:17" s="146" customFormat="1" ht="24" x14ac:dyDescent="0.25">
      <c r="A469" s="127">
        <v>462</v>
      </c>
      <c r="B469" s="60" t="s">
        <v>994</v>
      </c>
      <c r="C469" s="10" t="str">
        <f>"DP-02/9/1-007950/16"</f>
        <v>DP-02/9/1-007950/16</v>
      </c>
      <c r="D469" s="56">
        <v>42562</v>
      </c>
      <c r="E469" s="56">
        <v>43155</v>
      </c>
      <c r="F469" s="8">
        <v>486102</v>
      </c>
      <c r="G469" s="46">
        <v>486102</v>
      </c>
      <c r="H469" s="126" t="s">
        <v>1100</v>
      </c>
      <c r="I469" s="156" t="s">
        <v>1964</v>
      </c>
      <c r="J469" s="149"/>
      <c r="K469" s="148"/>
      <c r="M469" s="158"/>
      <c r="N469" s="148"/>
      <c r="O469" s="148"/>
      <c r="P469" s="148"/>
      <c r="Q469" s="148"/>
    </row>
    <row r="470" spans="1:17" s="146" customFormat="1" x14ac:dyDescent="0.25">
      <c r="A470" s="127">
        <v>463</v>
      </c>
      <c r="B470" s="60" t="s">
        <v>995</v>
      </c>
      <c r="C470" s="10" t="str">
        <f>"9/16"</f>
        <v>9/16</v>
      </c>
      <c r="D470" s="56">
        <v>42424</v>
      </c>
      <c r="E470" s="56">
        <v>43155</v>
      </c>
      <c r="F470" s="8">
        <v>2572402</v>
      </c>
      <c r="G470" s="46">
        <v>2572402</v>
      </c>
      <c r="H470" s="126" t="s">
        <v>1100</v>
      </c>
      <c r="I470" s="156" t="s">
        <v>1965</v>
      </c>
      <c r="J470" s="149"/>
      <c r="K470" s="148"/>
      <c r="M470" s="158"/>
      <c r="N470" s="148"/>
      <c r="O470" s="148"/>
      <c r="P470" s="148"/>
      <c r="Q470" s="148"/>
    </row>
    <row r="471" spans="1:17" s="146" customFormat="1" ht="24" x14ac:dyDescent="0.25">
      <c r="A471" s="127">
        <v>464</v>
      </c>
      <c r="B471" s="60" t="s">
        <v>889</v>
      </c>
      <c r="C471" s="10" t="str">
        <f>"VG 15/2015"</f>
        <v>VG 15/2015</v>
      </c>
      <c r="D471" s="56">
        <v>42424</v>
      </c>
      <c r="E471" s="56">
        <v>43155</v>
      </c>
      <c r="F471" s="8">
        <v>78632.36</v>
      </c>
      <c r="G471" s="46">
        <v>78632.36</v>
      </c>
      <c r="H471" s="126" t="s">
        <v>1100</v>
      </c>
      <c r="I471" s="156" t="s">
        <v>1966</v>
      </c>
      <c r="J471" s="149"/>
      <c r="K471" s="148"/>
      <c r="M471" s="158"/>
      <c r="N471" s="148"/>
      <c r="O471" s="148"/>
      <c r="P471" s="148"/>
      <c r="Q471" s="148"/>
    </row>
    <row r="472" spans="1:17" s="146" customFormat="1" ht="24" x14ac:dyDescent="0.25">
      <c r="A472" s="127">
        <v>465</v>
      </c>
      <c r="B472" s="60" t="s">
        <v>816</v>
      </c>
      <c r="C472" s="10" t="str">
        <f>"DP-02/9/5-006861/16"</f>
        <v>DP-02/9/5-006861/16</v>
      </c>
      <c r="D472" s="56">
        <v>42424</v>
      </c>
      <c r="E472" s="56">
        <v>43155</v>
      </c>
      <c r="F472" s="8">
        <v>70065.399999999994</v>
      </c>
      <c r="G472" s="46">
        <v>70065.399999999994</v>
      </c>
      <c r="H472" s="126" t="s">
        <v>1100</v>
      </c>
      <c r="I472" s="156" t="s">
        <v>1967</v>
      </c>
      <c r="J472" s="149"/>
      <c r="K472" s="148"/>
      <c r="M472" s="158"/>
      <c r="N472" s="148"/>
      <c r="O472" s="148"/>
      <c r="P472" s="148"/>
      <c r="Q472" s="148"/>
    </row>
    <row r="473" spans="1:17" s="146" customFormat="1" ht="24" x14ac:dyDescent="0.25">
      <c r="A473" s="127">
        <v>466</v>
      </c>
      <c r="B473" s="60" t="s">
        <v>890</v>
      </c>
      <c r="C473" s="10" t="str">
        <f>"41-SU-334/15-4"</f>
        <v>41-SU-334/15-4</v>
      </c>
      <c r="D473" s="56">
        <v>42424</v>
      </c>
      <c r="E473" s="56">
        <v>43155</v>
      </c>
      <c r="F473" s="8">
        <v>99836</v>
      </c>
      <c r="G473" s="46">
        <v>124795</v>
      </c>
      <c r="H473" s="126" t="s">
        <v>1100</v>
      </c>
      <c r="I473" s="156" t="s">
        <v>1968</v>
      </c>
      <c r="J473" s="149"/>
      <c r="K473" s="148"/>
      <c r="M473" s="158"/>
      <c r="N473" s="148"/>
      <c r="O473" s="148"/>
      <c r="P473" s="148"/>
      <c r="Q473" s="148"/>
    </row>
    <row r="474" spans="1:17" s="146" customFormat="1" x14ac:dyDescent="0.25">
      <c r="A474" s="127">
        <v>467</v>
      </c>
      <c r="B474" s="60" t="s">
        <v>707</v>
      </c>
      <c r="C474" s="10" t="str">
        <f>"E-15-2015"</f>
        <v>E-15-2015</v>
      </c>
      <c r="D474" s="56">
        <v>42424</v>
      </c>
      <c r="E474" s="56">
        <v>43155</v>
      </c>
      <c r="F474" s="8">
        <v>969299.18</v>
      </c>
      <c r="G474" s="46">
        <v>970564.68</v>
      </c>
      <c r="H474" s="126" t="s">
        <v>1100</v>
      </c>
      <c r="I474" s="156" t="s">
        <v>1969</v>
      </c>
      <c r="J474" s="149"/>
      <c r="K474" s="148"/>
      <c r="M474" s="158"/>
      <c r="N474" s="148"/>
      <c r="O474" s="148"/>
      <c r="P474" s="148"/>
      <c r="Q474" s="148"/>
    </row>
    <row r="475" spans="1:17" s="146" customFormat="1" ht="24" x14ac:dyDescent="0.25">
      <c r="A475" s="127">
        <v>468</v>
      </c>
      <c r="B475" s="60" t="s">
        <v>913</v>
      </c>
      <c r="C475" s="10" t="str">
        <f>"DP-02/9/5-006852/16"</f>
        <v>DP-02/9/5-006852/16</v>
      </c>
      <c r="D475" s="56">
        <v>42424</v>
      </c>
      <c r="E475" s="59"/>
      <c r="F475" s="8">
        <v>51398.05</v>
      </c>
      <c r="G475" s="46">
        <v>64247.56</v>
      </c>
      <c r="H475" s="126" t="s">
        <v>1100</v>
      </c>
      <c r="I475" s="156" t="s">
        <v>1970</v>
      </c>
      <c r="J475" s="149"/>
      <c r="K475" s="148"/>
      <c r="M475" s="158"/>
      <c r="N475" s="148"/>
      <c r="O475" s="148"/>
      <c r="P475" s="148"/>
      <c r="Q475" s="148"/>
    </row>
    <row r="476" spans="1:17" s="146" customFormat="1" ht="24" x14ac:dyDescent="0.25">
      <c r="A476" s="127">
        <v>469</v>
      </c>
      <c r="B476" s="60" t="s">
        <v>814</v>
      </c>
      <c r="C476" s="10" t="str">
        <f>"EV.BR.15/2015"</f>
        <v>EV.BR.15/2015</v>
      </c>
      <c r="D476" s="56">
        <v>42424</v>
      </c>
      <c r="E476" s="56">
        <v>43155</v>
      </c>
      <c r="F476" s="8">
        <v>71875.520000000004</v>
      </c>
      <c r="G476" s="46">
        <v>89844.4</v>
      </c>
      <c r="H476" s="126" t="s">
        <v>1100</v>
      </c>
      <c r="I476" s="156" t="s">
        <v>1971</v>
      </c>
      <c r="J476" s="149"/>
      <c r="K476" s="148"/>
      <c r="M476" s="158"/>
      <c r="N476" s="148"/>
      <c r="O476" s="148"/>
      <c r="P476" s="148"/>
      <c r="Q476" s="148"/>
    </row>
    <row r="477" spans="1:17" s="146" customFormat="1" ht="24" x14ac:dyDescent="0.25">
      <c r="A477" s="127">
        <v>470</v>
      </c>
      <c r="B477" s="60" t="s">
        <v>643</v>
      </c>
      <c r="C477" s="10" t="str">
        <f>"DP-02/9/4-007266/16"</f>
        <v>DP-02/9/4-007266/16</v>
      </c>
      <c r="D477" s="56">
        <v>42461</v>
      </c>
      <c r="E477" s="56">
        <v>43155</v>
      </c>
      <c r="F477" s="8">
        <v>941941.73</v>
      </c>
      <c r="G477" s="46">
        <v>942121.57</v>
      </c>
      <c r="H477" s="126" t="s">
        <v>1100</v>
      </c>
      <c r="I477" s="156" t="s">
        <v>1972</v>
      </c>
      <c r="J477" s="149"/>
      <c r="K477" s="148"/>
      <c r="M477" s="158"/>
      <c r="N477" s="148"/>
      <c r="O477" s="148"/>
      <c r="P477" s="148"/>
      <c r="Q477" s="148"/>
    </row>
    <row r="478" spans="1:17" s="146" customFormat="1" ht="24" x14ac:dyDescent="0.25">
      <c r="A478" s="127">
        <v>471</v>
      </c>
      <c r="B478" s="60" t="s">
        <v>803</v>
      </c>
      <c r="C478" s="10" t="str">
        <f>"EV.15/2015"</f>
        <v>EV.15/2015</v>
      </c>
      <c r="D478" s="56">
        <v>42424</v>
      </c>
      <c r="E478" s="56">
        <v>43155</v>
      </c>
      <c r="F478" s="8">
        <v>64381.1</v>
      </c>
      <c r="G478" s="46">
        <v>71724.800000000003</v>
      </c>
      <c r="H478" s="126" t="s">
        <v>1100</v>
      </c>
      <c r="I478" s="156" t="s">
        <v>1973</v>
      </c>
      <c r="J478" s="149"/>
      <c r="K478" s="148"/>
      <c r="M478" s="158"/>
      <c r="N478" s="148"/>
      <c r="O478" s="148"/>
      <c r="P478" s="148"/>
      <c r="Q478" s="148"/>
    </row>
    <row r="479" spans="1:17" s="146" customFormat="1" ht="24" x14ac:dyDescent="0.25">
      <c r="A479" s="127">
        <v>472</v>
      </c>
      <c r="B479" s="60" t="s">
        <v>766</v>
      </c>
      <c r="C479" s="10" t="str">
        <f>"DP-02/9/3-8945/16"</f>
        <v>DP-02/9/3-8945/16</v>
      </c>
      <c r="D479" s="56">
        <v>42824</v>
      </c>
      <c r="E479" s="56">
        <v>43155</v>
      </c>
      <c r="F479" s="8">
        <v>28445.34</v>
      </c>
      <c r="G479" s="46">
        <v>35556.68</v>
      </c>
      <c r="H479" s="126" t="s">
        <v>1100</v>
      </c>
      <c r="I479" s="156" t="s">
        <v>1974</v>
      </c>
      <c r="J479" s="149"/>
      <c r="K479" s="148"/>
      <c r="M479" s="158"/>
      <c r="N479" s="148"/>
      <c r="O479" s="148"/>
      <c r="P479" s="148"/>
      <c r="Q479" s="148"/>
    </row>
    <row r="480" spans="1:17" s="146" customFormat="1" ht="24" x14ac:dyDescent="0.25">
      <c r="A480" s="127">
        <v>473</v>
      </c>
      <c r="B480" s="60" t="s">
        <v>819</v>
      </c>
      <c r="C480" s="10" t="str">
        <f>"DP-02/9/5-007484/16"</f>
        <v>DP-02/9/5-007484/16</v>
      </c>
      <c r="D480" s="56">
        <v>42424</v>
      </c>
      <c r="E480" s="56">
        <v>43155</v>
      </c>
      <c r="F480" s="8">
        <v>75026.27</v>
      </c>
      <c r="G480" s="46">
        <v>93782.84</v>
      </c>
      <c r="H480" s="126" t="s">
        <v>1100</v>
      </c>
      <c r="I480" s="156" t="s">
        <v>1975</v>
      </c>
      <c r="J480" s="149"/>
      <c r="K480" s="148"/>
      <c r="M480" s="158"/>
      <c r="N480" s="148"/>
      <c r="O480" s="148"/>
      <c r="P480" s="148"/>
      <c r="Q480" s="148"/>
    </row>
    <row r="481" spans="1:17" s="146" customFormat="1" x14ac:dyDescent="0.25">
      <c r="A481" s="127">
        <v>474</v>
      </c>
      <c r="B481" s="60" t="s">
        <v>212</v>
      </c>
      <c r="C481" s="10" t="str">
        <f>"15/2015-A"</f>
        <v>15/2015-A</v>
      </c>
      <c r="D481" s="56">
        <v>42424</v>
      </c>
      <c r="E481" s="56">
        <v>43155</v>
      </c>
      <c r="F481" s="8">
        <v>0</v>
      </c>
      <c r="G481" s="46">
        <v>0</v>
      </c>
      <c r="H481" s="126" t="s">
        <v>1100</v>
      </c>
      <c r="I481" s="156" t="s">
        <v>1976</v>
      </c>
      <c r="J481" s="149"/>
      <c r="K481" s="148"/>
      <c r="M481" s="158"/>
      <c r="N481" s="148"/>
      <c r="O481" s="148"/>
      <c r="P481" s="148"/>
      <c r="Q481" s="148"/>
    </row>
    <row r="482" spans="1:17" s="146" customFormat="1" ht="24" x14ac:dyDescent="0.25">
      <c r="A482" s="127">
        <v>475</v>
      </c>
      <c r="B482" s="60" t="s">
        <v>697</v>
      </c>
      <c r="C482" s="10" t="str">
        <f>"41-SU-326/2016"</f>
        <v>41-SU-326/2016</v>
      </c>
      <c r="D482" s="56">
        <v>42424</v>
      </c>
      <c r="E482" s="56">
        <v>43155</v>
      </c>
      <c r="F482" s="8">
        <v>215287.1</v>
      </c>
      <c r="G482" s="46">
        <v>269108.88</v>
      </c>
      <c r="H482" s="126" t="s">
        <v>1100</v>
      </c>
      <c r="I482" s="156" t="s">
        <v>1977</v>
      </c>
      <c r="J482" s="149"/>
      <c r="K482" s="148"/>
      <c r="M482" s="158"/>
      <c r="N482" s="148"/>
      <c r="O482" s="148"/>
      <c r="P482" s="148"/>
      <c r="Q482" s="148"/>
    </row>
    <row r="483" spans="1:17" s="146" customFormat="1" ht="36" x14ac:dyDescent="0.25">
      <c r="A483" s="127">
        <v>476</v>
      </c>
      <c r="B483" s="60" t="s">
        <v>485</v>
      </c>
      <c r="C483" s="10" t="str">
        <f>"KLASA: 910-01/16-01/20"</f>
        <v>KLASA: 910-01/16-01/20</v>
      </c>
      <c r="D483" s="56">
        <v>42458</v>
      </c>
      <c r="E483" s="56">
        <v>43155</v>
      </c>
      <c r="F483" s="8">
        <v>95645.15</v>
      </c>
      <c r="G483" s="46">
        <v>119556.44</v>
      </c>
      <c r="H483" s="126" t="s">
        <v>1100</v>
      </c>
      <c r="I483" s="156" t="s">
        <v>1978</v>
      </c>
      <c r="J483" s="149"/>
      <c r="K483" s="148"/>
      <c r="M483" s="158"/>
      <c r="N483" s="148"/>
      <c r="O483" s="148"/>
      <c r="P483" s="148"/>
      <c r="Q483" s="148"/>
    </row>
    <row r="484" spans="1:17" s="146" customFormat="1" ht="24" x14ac:dyDescent="0.25">
      <c r="A484" s="127">
        <v>477</v>
      </c>
      <c r="B484" s="60" t="s">
        <v>211</v>
      </c>
      <c r="C484" s="10" t="str">
        <f>"406-01/15-01/19"</f>
        <v>406-01/15-01/19</v>
      </c>
      <c r="D484" s="56">
        <v>42461</v>
      </c>
      <c r="E484" s="56">
        <v>43155</v>
      </c>
      <c r="F484" s="8">
        <v>47473.24</v>
      </c>
      <c r="G484" s="46">
        <v>59341.55</v>
      </c>
      <c r="H484" s="126" t="s">
        <v>1100</v>
      </c>
      <c r="I484" s="156" t="s">
        <v>1979</v>
      </c>
      <c r="J484" s="149"/>
      <c r="K484" s="148"/>
      <c r="M484" s="158"/>
      <c r="N484" s="148"/>
      <c r="O484" s="148"/>
      <c r="P484" s="148"/>
      <c r="Q484" s="148"/>
    </row>
    <row r="485" spans="1:17" s="146" customFormat="1" ht="24" x14ac:dyDescent="0.25">
      <c r="A485" s="127">
        <v>478</v>
      </c>
      <c r="B485" s="60" t="s">
        <v>861</v>
      </c>
      <c r="C485" s="10" t="str">
        <f>"DP-02/9/5-006864/16"</f>
        <v>DP-02/9/5-006864/16</v>
      </c>
      <c r="D485" s="56">
        <v>42424</v>
      </c>
      <c r="E485" s="56">
        <v>43155</v>
      </c>
      <c r="F485" s="8">
        <v>125713.95</v>
      </c>
      <c r="G485" s="46">
        <v>125713.95</v>
      </c>
      <c r="H485" s="126" t="s">
        <v>1100</v>
      </c>
      <c r="I485" s="156" t="s">
        <v>1980</v>
      </c>
      <c r="J485" s="149"/>
      <c r="K485" s="148"/>
      <c r="M485" s="158"/>
      <c r="N485" s="148"/>
      <c r="O485" s="148"/>
      <c r="P485" s="148"/>
      <c r="Q485" s="148"/>
    </row>
    <row r="486" spans="1:17" s="146" customFormat="1" ht="36" x14ac:dyDescent="0.25">
      <c r="A486" s="127">
        <v>479</v>
      </c>
      <c r="B486" s="60" t="s">
        <v>768</v>
      </c>
      <c r="C486" s="10" t="str">
        <f>"EV.BR. 15/2015"</f>
        <v>EV.BR. 15/2015</v>
      </c>
      <c r="D486" s="56">
        <v>42424</v>
      </c>
      <c r="E486" s="56">
        <v>43155</v>
      </c>
      <c r="F486" s="8">
        <v>119412</v>
      </c>
      <c r="G486" s="46">
        <v>119412</v>
      </c>
      <c r="H486" s="126" t="s">
        <v>1100</v>
      </c>
      <c r="I486" s="156" t="s">
        <v>1981</v>
      </c>
      <c r="J486" s="149"/>
      <c r="K486" s="148"/>
      <c r="M486" s="158"/>
      <c r="N486" s="148"/>
      <c r="O486" s="148"/>
      <c r="P486" s="148"/>
      <c r="Q486" s="148"/>
    </row>
    <row r="487" spans="1:17" s="146" customFormat="1" ht="24" x14ac:dyDescent="0.25">
      <c r="A487" s="127">
        <v>480</v>
      </c>
      <c r="B487" s="60" t="s">
        <v>968</v>
      </c>
      <c r="C487" s="10" t="str">
        <f>"P-1"</f>
        <v>P-1</v>
      </c>
      <c r="D487" s="56">
        <v>42424</v>
      </c>
      <c r="E487" s="56">
        <v>43155</v>
      </c>
      <c r="F487" s="8">
        <v>36215.58</v>
      </c>
      <c r="G487" s="46">
        <v>36215.58</v>
      </c>
      <c r="H487" s="126" t="s">
        <v>1100</v>
      </c>
      <c r="I487" s="156" t="s">
        <v>1982</v>
      </c>
      <c r="J487" s="149"/>
      <c r="K487" s="148"/>
      <c r="M487" s="158"/>
      <c r="N487" s="148"/>
      <c r="O487" s="148"/>
      <c r="P487" s="148"/>
      <c r="Q487" s="148"/>
    </row>
    <row r="488" spans="1:17" s="146" customFormat="1" x14ac:dyDescent="0.25">
      <c r="A488" s="127">
        <v>481</v>
      </c>
      <c r="B488" s="60" t="s">
        <v>737</v>
      </c>
      <c r="C488" s="10" t="str">
        <f>"378-16-1"</f>
        <v>378-16-1</v>
      </c>
      <c r="D488" s="56">
        <v>42565</v>
      </c>
      <c r="E488" s="56">
        <v>43155</v>
      </c>
      <c r="F488" s="8">
        <v>4544.63</v>
      </c>
      <c r="G488" s="46">
        <v>5680.79</v>
      </c>
      <c r="H488" s="126" t="s">
        <v>1100</v>
      </c>
      <c r="I488" s="156" t="s">
        <v>1983</v>
      </c>
      <c r="J488" s="149"/>
      <c r="K488" s="148"/>
      <c r="M488" s="158"/>
      <c r="N488" s="148"/>
      <c r="O488" s="148"/>
      <c r="P488" s="148"/>
      <c r="Q488" s="148"/>
    </row>
    <row r="489" spans="1:17" s="146" customFormat="1" ht="24" x14ac:dyDescent="0.25">
      <c r="A489" s="127">
        <v>482</v>
      </c>
      <c r="B489" s="60" t="s">
        <v>877</v>
      </c>
      <c r="C489" s="10" t="str">
        <f>"DP-02/9/2-006667/16"</f>
        <v>DP-02/9/2-006667/16</v>
      </c>
      <c r="D489" s="56">
        <v>42459</v>
      </c>
      <c r="E489" s="56">
        <v>43155</v>
      </c>
      <c r="F489" s="8">
        <v>255973.5</v>
      </c>
      <c r="G489" s="46">
        <v>255973.5</v>
      </c>
      <c r="H489" s="126" t="s">
        <v>1102</v>
      </c>
      <c r="I489" s="156" t="s">
        <v>1984</v>
      </c>
      <c r="J489" s="149"/>
      <c r="K489" s="148"/>
      <c r="M489" s="158"/>
      <c r="N489" s="148"/>
      <c r="O489" s="148"/>
      <c r="P489" s="148"/>
      <c r="Q489" s="148"/>
    </row>
    <row r="490" spans="1:17" s="146" customFormat="1" ht="24" x14ac:dyDescent="0.25">
      <c r="A490" s="127">
        <v>483</v>
      </c>
      <c r="B490" s="60" t="s">
        <v>891</v>
      </c>
      <c r="C490" s="10" t="str">
        <f>"01-PA-7-62/16"</f>
        <v>01-PA-7-62/16</v>
      </c>
      <c r="D490" s="56">
        <v>42424</v>
      </c>
      <c r="E490" s="56">
        <v>43155</v>
      </c>
      <c r="F490" s="8">
        <v>33663040</v>
      </c>
      <c r="G490" s="46">
        <v>42078800</v>
      </c>
      <c r="H490" s="126" t="s">
        <v>1100</v>
      </c>
      <c r="I490" s="156" t="s">
        <v>1985</v>
      </c>
      <c r="J490" s="149"/>
      <c r="K490" s="148"/>
      <c r="M490" s="158"/>
      <c r="N490" s="148"/>
      <c r="O490" s="148"/>
      <c r="P490" s="148"/>
      <c r="Q490" s="148"/>
    </row>
    <row r="491" spans="1:17" s="146" customFormat="1" ht="24" x14ac:dyDescent="0.25">
      <c r="A491" s="127">
        <v>484</v>
      </c>
      <c r="B491" s="60" t="s">
        <v>675</v>
      </c>
      <c r="C491" s="10" t="str">
        <f>"DP-02/9/1-007461/16"</f>
        <v>DP-02/9/1-007461/16</v>
      </c>
      <c r="D491" s="56">
        <v>42454</v>
      </c>
      <c r="E491" s="56">
        <v>42790</v>
      </c>
      <c r="F491" s="8">
        <v>28470</v>
      </c>
      <c r="G491" s="46">
        <v>28470</v>
      </c>
      <c r="H491" s="126" t="s">
        <v>1511</v>
      </c>
      <c r="I491" s="156" t="s">
        <v>1986</v>
      </c>
      <c r="J491" s="149"/>
      <c r="K491" s="148"/>
      <c r="M491" s="158"/>
      <c r="N491" s="148"/>
      <c r="O491" s="148"/>
      <c r="P491" s="148"/>
      <c r="Q491" s="148"/>
    </row>
    <row r="492" spans="1:17" s="146" customFormat="1" ht="24" x14ac:dyDescent="0.25">
      <c r="A492" s="127">
        <v>485</v>
      </c>
      <c r="B492" s="60" t="s">
        <v>895</v>
      </c>
      <c r="C492" s="10" t="str">
        <f>"DP-02/9/3-6509/16"</f>
        <v>DP-02/9/3-6509/16</v>
      </c>
      <c r="D492" s="56">
        <v>42401</v>
      </c>
      <c r="E492" s="56">
        <v>43155</v>
      </c>
      <c r="F492" s="8">
        <v>39505</v>
      </c>
      <c r="G492" s="46">
        <v>49381.25</v>
      </c>
      <c r="H492" s="126" t="s">
        <v>1100</v>
      </c>
      <c r="I492" s="156" t="s">
        <v>1987</v>
      </c>
      <c r="J492" s="149"/>
      <c r="K492" s="148"/>
      <c r="M492" s="158"/>
      <c r="N492" s="148"/>
      <c r="O492" s="148"/>
      <c r="P492" s="148"/>
      <c r="Q492" s="148"/>
    </row>
    <row r="493" spans="1:17" s="146" customFormat="1" x14ac:dyDescent="0.25">
      <c r="A493" s="127">
        <v>486</v>
      </c>
      <c r="B493" s="60" t="s">
        <v>627</v>
      </c>
      <c r="C493" s="10" t="str">
        <f>"41 SU 73/16"</f>
        <v>41 SU 73/16</v>
      </c>
      <c r="D493" s="56">
        <v>42452</v>
      </c>
      <c r="E493" s="56">
        <v>43155</v>
      </c>
      <c r="F493" s="8">
        <v>597550.78</v>
      </c>
      <c r="G493" s="46">
        <v>597974.02</v>
      </c>
      <c r="H493" s="126" t="s">
        <v>1100</v>
      </c>
      <c r="I493" s="156" t="s">
        <v>1988</v>
      </c>
      <c r="J493" s="149"/>
      <c r="K493" s="148"/>
      <c r="M493" s="158"/>
      <c r="N493" s="148"/>
      <c r="O493" s="148"/>
      <c r="P493" s="148"/>
      <c r="Q493" s="148"/>
    </row>
    <row r="494" spans="1:17" s="146" customFormat="1" ht="24" x14ac:dyDescent="0.25">
      <c r="A494" s="127">
        <v>487</v>
      </c>
      <c r="B494" s="60" t="s">
        <v>581</v>
      </c>
      <c r="C494" s="10" t="str">
        <f>"41 SU 605/2015"</f>
        <v>41 SU 605/2015</v>
      </c>
      <c r="D494" s="56">
        <v>42496</v>
      </c>
      <c r="E494" s="56">
        <v>43155</v>
      </c>
      <c r="F494" s="8">
        <v>100104.3</v>
      </c>
      <c r="G494" s="46">
        <v>100153.3</v>
      </c>
      <c r="H494" s="126" t="s">
        <v>1100</v>
      </c>
      <c r="I494" s="156" t="s">
        <v>1989</v>
      </c>
      <c r="J494" s="149"/>
      <c r="K494" s="148"/>
      <c r="M494" s="158"/>
      <c r="N494" s="148"/>
      <c r="O494" s="148"/>
      <c r="P494" s="148"/>
      <c r="Q494" s="148"/>
    </row>
    <row r="495" spans="1:17" s="146" customFormat="1" ht="24" x14ac:dyDescent="0.25">
      <c r="A495" s="127">
        <v>488</v>
      </c>
      <c r="B495" s="60" t="s">
        <v>996</v>
      </c>
      <c r="C495" s="10" t="str">
        <f>"DP-02/9/4-006855/16"</f>
        <v>DP-02/9/4-006855/16</v>
      </c>
      <c r="D495" s="56">
        <v>42424</v>
      </c>
      <c r="E495" s="56">
        <v>43155</v>
      </c>
      <c r="F495" s="8">
        <v>186603</v>
      </c>
      <c r="G495" s="46">
        <v>186662</v>
      </c>
      <c r="H495" s="126" t="s">
        <v>1100</v>
      </c>
      <c r="I495" s="156" t="s">
        <v>1990</v>
      </c>
      <c r="J495" s="149"/>
      <c r="K495" s="148"/>
      <c r="M495" s="158"/>
      <c r="N495" s="148"/>
      <c r="O495" s="148"/>
      <c r="P495" s="148"/>
      <c r="Q495" s="148"/>
    </row>
    <row r="496" spans="1:17" s="146" customFormat="1" ht="24" x14ac:dyDescent="0.25">
      <c r="A496" s="127">
        <v>489</v>
      </c>
      <c r="B496" s="60" t="s">
        <v>784</v>
      </c>
      <c r="C496" s="10" t="str">
        <f>"DP-02/9/3-7397/16"</f>
        <v>DP-02/9/3-7397/16</v>
      </c>
      <c r="D496" s="56">
        <v>42461</v>
      </c>
      <c r="E496" s="56">
        <v>43191</v>
      </c>
      <c r="F496" s="8">
        <v>58062.76</v>
      </c>
      <c r="G496" s="46">
        <v>58091.199999999997</v>
      </c>
      <c r="H496" s="126" t="s">
        <v>1100</v>
      </c>
      <c r="I496" s="156" t="s">
        <v>1991</v>
      </c>
      <c r="J496" s="149"/>
      <c r="K496" s="148"/>
      <c r="M496" s="158"/>
      <c r="N496" s="148"/>
      <c r="O496" s="148"/>
      <c r="P496" s="148"/>
      <c r="Q496" s="148"/>
    </row>
    <row r="497" spans="1:17" s="146" customFormat="1" ht="24" x14ac:dyDescent="0.25">
      <c r="A497" s="127">
        <v>490</v>
      </c>
      <c r="B497" s="60" t="s">
        <v>854</v>
      </c>
      <c r="C497" s="10" t="str">
        <f>"DP-02/9/3-7410/16"</f>
        <v>DP-02/9/3-7410/16</v>
      </c>
      <c r="D497" s="56">
        <v>42461</v>
      </c>
      <c r="E497" s="56">
        <v>43155</v>
      </c>
      <c r="F497" s="8">
        <v>62499.56</v>
      </c>
      <c r="G497" s="46">
        <v>62532.24</v>
      </c>
      <c r="H497" s="126" t="s">
        <v>1100</v>
      </c>
      <c r="I497" s="156" t="s">
        <v>1992</v>
      </c>
      <c r="J497" s="149"/>
      <c r="K497" s="148"/>
      <c r="M497" s="158"/>
      <c r="N497" s="148"/>
      <c r="O497" s="148"/>
      <c r="P497" s="148"/>
      <c r="Q497" s="148"/>
    </row>
    <row r="498" spans="1:17" s="146" customFormat="1" ht="24" x14ac:dyDescent="0.25">
      <c r="A498" s="127">
        <v>491</v>
      </c>
      <c r="B498" s="60" t="s">
        <v>744</v>
      </c>
      <c r="C498" s="10" t="str">
        <f>"406-01/16-01/03"</f>
        <v>406-01/16-01/03</v>
      </c>
      <c r="D498" s="56">
        <v>42445</v>
      </c>
      <c r="E498" s="56">
        <v>43155</v>
      </c>
      <c r="F498" s="8">
        <v>65912.399999999994</v>
      </c>
      <c r="G498" s="46">
        <v>82390.5</v>
      </c>
      <c r="H498" s="126" t="s">
        <v>1100</v>
      </c>
      <c r="I498" s="156" t="s">
        <v>1993</v>
      </c>
      <c r="J498" s="149"/>
      <c r="K498" s="148"/>
      <c r="M498" s="158"/>
      <c r="N498" s="148"/>
      <c r="O498" s="148"/>
      <c r="P498" s="148"/>
      <c r="Q498" s="148"/>
    </row>
    <row r="499" spans="1:17" s="146" customFormat="1" ht="24" x14ac:dyDescent="0.25">
      <c r="A499" s="127">
        <v>492</v>
      </c>
      <c r="B499" s="60" t="s">
        <v>487</v>
      </c>
      <c r="C499" s="10" t="str">
        <f>"26/2016"</f>
        <v>26/2016</v>
      </c>
      <c r="D499" s="56">
        <v>42486</v>
      </c>
      <c r="E499" s="56">
        <v>43132</v>
      </c>
      <c r="F499" s="8">
        <v>37744.800000000003</v>
      </c>
      <c r="G499" s="46">
        <v>37833.15</v>
      </c>
      <c r="H499" s="126" t="s">
        <v>1476</v>
      </c>
      <c r="I499" s="156" t="s">
        <v>1994</v>
      </c>
      <c r="J499" s="149"/>
      <c r="K499" s="148"/>
      <c r="M499" s="158"/>
      <c r="N499" s="148"/>
      <c r="O499" s="148"/>
      <c r="P499" s="148"/>
      <c r="Q499" s="148"/>
    </row>
    <row r="500" spans="1:17" s="146" customFormat="1" x14ac:dyDescent="0.25">
      <c r="A500" s="127">
        <v>493</v>
      </c>
      <c r="B500" s="60" t="s">
        <v>478</v>
      </c>
      <c r="C500" s="10" t="str">
        <f>"II-1/2016"</f>
        <v>II-1/2016</v>
      </c>
      <c r="D500" s="56">
        <v>42480</v>
      </c>
      <c r="E500" s="56">
        <v>43132</v>
      </c>
      <c r="F500" s="8">
        <v>20132.18</v>
      </c>
      <c r="G500" s="46">
        <v>25165.23</v>
      </c>
      <c r="H500" s="126" t="s">
        <v>1499</v>
      </c>
      <c r="I500" s="156" t="s">
        <v>1995</v>
      </c>
      <c r="J500" s="149"/>
      <c r="K500" s="148"/>
      <c r="M500" s="158"/>
      <c r="N500" s="148"/>
      <c r="O500" s="148"/>
      <c r="P500" s="148"/>
      <c r="Q500" s="148"/>
    </row>
    <row r="501" spans="1:17" s="146" customFormat="1" ht="24" x14ac:dyDescent="0.25">
      <c r="A501" s="127">
        <v>494</v>
      </c>
      <c r="B501" s="60" t="s">
        <v>874</v>
      </c>
      <c r="C501" s="10" t="str">
        <f>"535-07"</f>
        <v>535-07</v>
      </c>
      <c r="D501" s="56">
        <v>42387</v>
      </c>
      <c r="E501" s="56">
        <v>43155</v>
      </c>
      <c r="F501" s="8">
        <v>167589.84</v>
      </c>
      <c r="G501" s="46">
        <v>209487.3</v>
      </c>
      <c r="H501" s="126" t="s">
        <v>1100</v>
      </c>
      <c r="I501" s="156" t="s">
        <v>1996</v>
      </c>
      <c r="J501" s="149"/>
      <c r="K501" s="148"/>
      <c r="M501" s="158"/>
      <c r="N501" s="148"/>
      <c r="O501" s="148"/>
      <c r="P501" s="148"/>
      <c r="Q501" s="148"/>
    </row>
    <row r="502" spans="1:17" s="146" customFormat="1" ht="36" x14ac:dyDescent="0.25">
      <c r="A502" s="127">
        <v>495</v>
      </c>
      <c r="B502" s="60" t="s">
        <v>885</v>
      </c>
      <c r="C502" s="10" t="str">
        <f>"DP-02-032505/15 MHZ"</f>
        <v>DP-02-032505/15 MHZ</v>
      </c>
      <c r="D502" s="56">
        <v>42461</v>
      </c>
      <c r="E502" s="56">
        <v>43155</v>
      </c>
      <c r="F502" s="8">
        <v>57479</v>
      </c>
      <c r="G502" s="46">
        <v>58007.4</v>
      </c>
      <c r="H502" s="126" t="s">
        <v>1100</v>
      </c>
      <c r="I502" s="156" t="s">
        <v>1997</v>
      </c>
      <c r="J502" s="149"/>
      <c r="K502" s="148"/>
      <c r="M502" s="158"/>
      <c r="N502" s="148"/>
      <c r="O502" s="148"/>
      <c r="P502" s="148"/>
      <c r="Q502" s="148"/>
    </row>
    <row r="503" spans="1:17" s="146" customFormat="1" ht="24" x14ac:dyDescent="0.25">
      <c r="A503" s="127">
        <v>496</v>
      </c>
      <c r="B503" s="60" t="s">
        <v>573</v>
      </c>
      <c r="C503" s="10" t="str">
        <f>"DP-02/9/3-78/16"</f>
        <v>DP-02/9/3-78/16</v>
      </c>
      <c r="D503" s="56">
        <v>42424</v>
      </c>
      <c r="E503" s="56">
        <v>43155</v>
      </c>
      <c r="F503" s="8">
        <v>1275</v>
      </c>
      <c r="G503" s="46">
        <v>1593.75</v>
      </c>
      <c r="H503" s="164"/>
      <c r="I503" s="171" t="s">
        <v>1101</v>
      </c>
      <c r="J503" s="149"/>
      <c r="M503" s="158"/>
      <c r="N503" s="148"/>
      <c r="O503" s="148"/>
      <c r="P503" s="148"/>
      <c r="Q503" s="148"/>
    </row>
    <row r="504" spans="1:17" s="146" customFormat="1" ht="24" x14ac:dyDescent="0.25">
      <c r="A504" s="127">
        <v>497</v>
      </c>
      <c r="B504" s="60" t="s">
        <v>573</v>
      </c>
      <c r="C504" s="10" t="str">
        <f>"DP-02/9/3-7087/16"</f>
        <v>DP-02/9/3-7087/16</v>
      </c>
      <c r="D504" s="56">
        <v>42453</v>
      </c>
      <c r="E504" s="56">
        <v>43155</v>
      </c>
      <c r="F504" s="8">
        <v>323</v>
      </c>
      <c r="G504" s="46">
        <v>403.75</v>
      </c>
      <c r="H504" s="164"/>
      <c r="I504" s="171" t="s">
        <v>1101</v>
      </c>
      <c r="J504" s="149"/>
      <c r="M504" s="158"/>
      <c r="N504" s="148"/>
      <c r="O504" s="148"/>
      <c r="P504" s="148"/>
      <c r="Q504" s="148"/>
    </row>
    <row r="505" spans="1:17" s="146" customFormat="1" ht="24" x14ac:dyDescent="0.25">
      <c r="A505" s="127">
        <v>498</v>
      </c>
      <c r="B505" s="60" t="s">
        <v>771</v>
      </c>
      <c r="C505" s="10" t="str">
        <f>"HP I-001/2016"</f>
        <v>HP I-001/2016</v>
      </c>
      <c r="D505" s="56">
        <v>42474</v>
      </c>
      <c r="E505" s="56">
        <v>43155</v>
      </c>
      <c r="F505" s="8">
        <v>23638.65</v>
      </c>
      <c r="G505" s="46">
        <v>28086.799999999999</v>
      </c>
      <c r="H505" s="126" t="s">
        <v>1100</v>
      </c>
      <c r="I505" s="156" t="s">
        <v>1998</v>
      </c>
      <c r="J505" s="149"/>
      <c r="M505" s="158"/>
      <c r="N505" s="148"/>
      <c r="O505" s="148"/>
      <c r="P505" s="148"/>
      <c r="Q505" s="148"/>
    </row>
    <row r="506" spans="1:17" s="146" customFormat="1" ht="24" x14ac:dyDescent="0.25">
      <c r="A506" s="127">
        <v>499</v>
      </c>
      <c r="B506" s="60" t="s">
        <v>835</v>
      </c>
      <c r="C506" s="10" t="str">
        <f>"DP-02/9/5-006571/16"</f>
        <v>DP-02/9/5-006571/16</v>
      </c>
      <c r="D506" s="56">
        <v>42460</v>
      </c>
      <c r="E506" s="56">
        <v>43155</v>
      </c>
      <c r="F506" s="8">
        <v>137439</v>
      </c>
      <c r="G506" s="46">
        <v>171798.75</v>
      </c>
      <c r="H506" s="126" t="s">
        <v>1100</v>
      </c>
      <c r="I506" s="156" t="s">
        <v>1999</v>
      </c>
      <c r="J506" s="149"/>
      <c r="M506" s="158"/>
      <c r="N506" s="148"/>
      <c r="O506" s="148"/>
      <c r="P506" s="148"/>
      <c r="Q506" s="148"/>
    </row>
    <row r="507" spans="1:17" s="146" customFormat="1" ht="24" x14ac:dyDescent="0.25">
      <c r="A507" s="127">
        <v>500</v>
      </c>
      <c r="B507" s="60" t="s">
        <v>568</v>
      </c>
      <c r="C507" s="10" t="str">
        <f>"DP-02/9/1-010688/16"</f>
        <v>DP-02/9/1-010688/16</v>
      </c>
      <c r="D507" s="56">
        <v>42520</v>
      </c>
      <c r="E507" s="56">
        <v>43155</v>
      </c>
      <c r="F507" s="8">
        <v>159936.38</v>
      </c>
      <c r="G507" s="46">
        <v>199920.48</v>
      </c>
      <c r="H507" s="126" t="s">
        <v>1100</v>
      </c>
      <c r="I507" s="156" t="s">
        <v>2000</v>
      </c>
      <c r="J507" s="149"/>
      <c r="M507" s="158"/>
      <c r="N507" s="148"/>
      <c r="O507" s="148"/>
      <c r="P507" s="148"/>
      <c r="Q507" s="148"/>
    </row>
    <row r="508" spans="1:17" s="146" customFormat="1" ht="24" x14ac:dyDescent="0.25">
      <c r="A508" s="127">
        <v>501</v>
      </c>
      <c r="B508" s="60" t="s">
        <v>906</v>
      </c>
      <c r="C508" s="10" t="str">
        <f>"DP-02/9/1-008858/16"</f>
        <v>DP-02/9/1-008858/16</v>
      </c>
      <c r="D508" s="56">
        <v>42424</v>
      </c>
      <c r="E508" s="56">
        <v>43131</v>
      </c>
      <c r="F508" s="8">
        <v>52856.69</v>
      </c>
      <c r="G508" s="46">
        <v>66070.86</v>
      </c>
      <c r="H508" s="126" t="s">
        <v>1100</v>
      </c>
      <c r="I508" s="156" t="s">
        <v>2001</v>
      </c>
      <c r="J508" s="149"/>
      <c r="M508" s="158"/>
      <c r="N508" s="148"/>
      <c r="O508" s="148"/>
      <c r="P508" s="148"/>
      <c r="Q508" s="148"/>
    </row>
    <row r="509" spans="1:17" s="146" customFormat="1" ht="24" x14ac:dyDescent="0.25">
      <c r="A509" s="127">
        <v>502</v>
      </c>
      <c r="B509" s="60" t="s">
        <v>644</v>
      </c>
      <c r="C509" s="10" t="str">
        <f>"DP-02/9/2-007539/16"</f>
        <v>DP-02/9/2-007539/16</v>
      </c>
      <c r="D509" s="56">
        <v>42461</v>
      </c>
      <c r="E509" s="56">
        <v>43155</v>
      </c>
      <c r="F509" s="8">
        <v>158186.60999999999</v>
      </c>
      <c r="G509" s="46">
        <v>158301.60999999999</v>
      </c>
      <c r="H509" s="126" t="s">
        <v>1100</v>
      </c>
      <c r="I509" s="156" t="s">
        <v>2002</v>
      </c>
      <c r="J509" s="149"/>
      <c r="M509" s="158"/>
      <c r="N509" s="148"/>
      <c r="O509" s="148"/>
      <c r="P509" s="148"/>
      <c r="Q509" s="148"/>
    </row>
    <row r="510" spans="1:17" s="146" customFormat="1" ht="24" x14ac:dyDescent="0.25">
      <c r="A510" s="127">
        <v>503</v>
      </c>
      <c r="B510" s="60" t="s">
        <v>630</v>
      </c>
      <c r="C510" s="10" t="str">
        <f>"15-2015"</f>
        <v>15-2015</v>
      </c>
      <c r="D510" s="56">
        <v>42424</v>
      </c>
      <c r="E510" s="56">
        <v>43155</v>
      </c>
      <c r="F510" s="8">
        <v>51325.3</v>
      </c>
      <c r="G510" s="46">
        <v>64156.63</v>
      </c>
      <c r="H510" s="126" t="s">
        <v>1100</v>
      </c>
      <c r="I510" s="156" t="s">
        <v>2003</v>
      </c>
      <c r="J510" s="149"/>
      <c r="M510" s="158"/>
      <c r="N510" s="148"/>
      <c r="O510" s="148"/>
      <c r="P510" s="148"/>
      <c r="Q510" s="148"/>
    </row>
    <row r="511" spans="1:17" s="146" customFormat="1" ht="24" x14ac:dyDescent="0.25">
      <c r="A511" s="127">
        <v>504</v>
      </c>
      <c r="B511" s="60" t="s">
        <v>629</v>
      </c>
      <c r="C511" s="10" t="str">
        <f>"DP-02/9/2-6558/16"</f>
        <v>DP-02/9/2-6558/16</v>
      </c>
      <c r="D511" s="56">
        <v>42424</v>
      </c>
      <c r="E511" s="56">
        <v>43155</v>
      </c>
      <c r="F511" s="8">
        <v>126897.96</v>
      </c>
      <c r="G511" s="46">
        <v>158622.45000000001</v>
      </c>
      <c r="H511" s="126" t="s">
        <v>1100</v>
      </c>
      <c r="I511" s="156" t="s">
        <v>2004</v>
      </c>
      <c r="J511" s="149"/>
      <c r="M511" s="158"/>
      <c r="N511" s="148"/>
      <c r="O511" s="148"/>
      <c r="P511" s="148"/>
      <c r="Q511" s="148"/>
    </row>
    <row r="512" spans="1:17" s="146" customFormat="1" x14ac:dyDescent="0.25">
      <c r="A512" s="127">
        <v>505</v>
      </c>
      <c r="B512" s="60" t="s">
        <v>876</v>
      </c>
      <c r="C512" s="10" t="str">
        <f>"01-16-4"</f>
        <v>01-16-4</v>
      </c>
      <c r="D512" s="56">
        <v>42474</v>
      </c>
      <c r="E512" s="56">
        <v>43155</v>
      </c>
      <c r="F512" s="8">
        <v>11512.4</v>
      </c>
      <c r="G512" s="46">
        <v>14390.5</v>
      </c>
      <c r="H512" s="126" t="s">
        <v>1100</v>
      </c>
      <c r="I512" s="156" t="s">
        <v>2005</v>
      </c>
      <c r="J512" s="149"/>
      <c r="M512" s="158"/>
      <c r="N512" s="148"/>
      <c r="O512" s="148"/>
      <c r="P512" s="148"/>
      <c r="Q512" s="148"/>
    </row>
    <row r="513" spans="1:17" s="146" customFormat="1" ht="24" x14ac:dyDescent="0.25">
      <c r="A513" s="127">
        <v>506</v>
      </c>
      <c r="B513" s="60" t="s">
        <v>872</v>
      </c>
      <c r="C513" s="10" t="str">
        <f>"DP-02/9/4-008805/16"</f>
        <v>DP-02/9/4-008805/16</v>
      </c>
      <c r="D513" s="56">
        <v>42401</v>
      </c>
      <c r="E513" s="56">
        <v>43155</v>
      </c>
      <c r="F513" s="8">
        <v>7566.76</v>
      </c>
      <c r="G513" s="46">
        <v>8161.93</v>
      </c>
      <c r="H513" s="126" t="s">
        <v>1100</v>
      </c>
      <c r="I513" s="156" t="s">
        <v>2006</v>
      </c>
      <c r="J513" s="149"/>
      <c r="M513" s="158"/>
      <c r="N513" s="148"/>
      <c r="O513" s="148"/>
      <c r="P513" s="148"/>
      <c r="Q513" s="148"/>
    </row>
    <row r="514" spans="1:17" s="146" customFormat="1" ht="24" x14ac:dyDescent="0.25">
      <c r="A514" s="127">
        <v>507</v>
      </c>
      <c r="B514" s="60" t="s">
        <v>837</v>
      </c>
      <c r="C514" s="10" t="str">
        <f>"EV.15/2015"</f>
        <v>EV.15/2015</v>
      </c>
      <c r="D514" s="56">
        <v>42487</v>
      </c>
      <c r="E514" s="56">
        <v>43155</v>
      </c>
      <c r="F514" s="8">
        <v>32967.22</v>
      </c>
      <c r="G514" s="46">
        <v>32967.22</v>
      </c>
      <c r="H514" s="126" t="s">
        <v>1100</v>
      </c>
      <c r="I514" s="156" t="s">
        <v>2007</v>
      </c>
      <c r="J514" s="149"/>
      <c r="M514" s="158"/>
      <c r="N514" s="148"/>
      <c r="O514" s="148"/>
      <c r="P514" s="148"/>
      <c r="Q514" s="148"/>
    </row>
    <row r="515" spans="1:17" s="146" customFormat="1" ht="24" x14ac:dyDescent="0.25">
      <c r="A515" s="127">
        <v>508</v>
      </c>
      <c r="B515" s="60" t="s">
        <v>556</v>
      </c>
      <c r="C515" s="10" t="str">
        <f>"DP-02/9/2-9113/16"</f>
        <v>DP-02/9/2-9113/16</v>
      </c>
      <c r="D515" s="56">
        <v>42954</v>
      </c>
      <c r="E515" s="56">
        <v>43155</v>
      </c>
      <c r="F515" s="8">
        <v>8181.59</v>
      </c>
      <c r="G515" s="46">
        <v>8181.59</v>
      </c>
      <c r="H515" s="126" t="s">
        <v>1100</v>
      </c>
      <c r="I515" s="156" t="s">
        <v>2008</v>
      </c>
      <c r="J515" s="149"/>
      <c r="M515" s="158"/>
      <c r="N515" s="148"/>
      <c r="O515" s="148"/>
      <c r="P515" s="148"/>
      <c r="Q515" s="148"/>
    </row>
    <row r="516" spans="1:17" s="146" customFormat="1" ht="24" x14ac:dyDescent="0.25">
      <c r="A516" s="127">
        <v>509</v>
      </c>
      <c r="B516" s="60" t="s">
        <v>763</v>
      </c>
      <c r="C516" s="10" t="str">
        <f>"DP-02/9/4-006833/16"</f>
        <v>DP-02/9/4-006833/16</v>
      </c>
      <c r="D516" s="56">
        <v>42401</v>
      </c>
      <c r="E516" s="56">
        <v>43155</v>
      </c>
      <c r="F516" s="8">
        <v>357918.69</v>
      </c>
      <c r="G516" s="46">
        <v>357923.49</v>
      </c>
      <c r="H516" s="126" t="s">
        <v>1100</v>
      </c>
      <c r="I516" s="156" t="s">
        <v>2009</v>
      </c>
      <c r="J516" s="149"/>
      <c r="M516" s="158"/>
      <c r="N516" s="148"/>
      <c r="O516" s="148"/>
      <c r="P516" s="148"/>
      <c r="Q516" s="148"/>
    </row>
    <row r="517" spans="1:17" s="146" customFormat="1" x14ac:dyDescent="0.25">
      <c r="A517" s="127">
        <v>510</v>
      </c>
      <c r="B517" s="60" t="s">
        <v>695</v>
      </c>
      <c r="C517" s="10" t="str">
        <f>"UGOVOR"</f>
        <v>UGOVOR</v>
      </c>
      <c r="D517" s="56">
        <v>42466</v>
      </c>
      <c r="E517" s="56">
        <v>43155</v>
      </c>
      <c r="F517" s="8">
        <v>13993.1</v>
      </c>
      <c r="G517" s="46">
        <v>14500</v>
      </c>
      <c r="H517" s="126" t="s">
        <v>1100</v>
      </c>
      <c r="I517" s="156" t="s">
        <v>2010</v>
      </c>
      <c r="J517" s="149"/>
      <c r="M517" s="158"/>
      <c r="N517" s="148"/>
      <c r="O517" s="148"/>
      <c r="P517" s="148"/>
      <c r="Q517" s="148"/>
    </row>
    <row r="518" spans="1:17" s="146" customFormat="1" ht="24" x14ac:dyDescent="0.25">
      <c r="A518" s="127">
        <v>511</v>
      </c>
      <c r="B518" s="60" t="s">
        <v>202</v>
      </c>
      <c r="C518" s="10" t="str">
        <f>"DP-02/9/1-007524/16"</f>
        <v>DP-02/9/1-007524/16</v>
      </c>
      <c r="D518" s="56">
        <v>42459</v>
      </c>
      <c r="E518" s="56">
        <v>42790</v>
      </c>
      <c r="F518" s="8">
        <v>132917.24</v>
      </c>
      <c r="G518" s="46">
        <v>132917.24</v>
      </c>
      <c r="H518" s="126" t="s">
        <v>1103</v>
      </c>
      <c r="I518" s="156" t="s">
        <v>2011</v>
      </c>
      <c r="J518" s="149"/>
      <c r="M518" s="158"/>
      <c r="N518" s="148"/>
      <c r="O518" s="148"/>
      <c r="P518" s="148"/>
      <c r="Q518" s="148"/>
    </row>
    <row r="519" spans="1:17" s="146" customFormat="1" ht="24" x14ac:dyDescent="0.25">
      <c r="A519" s="127">
        <v>512</v>
      </c>
      <c r="B519" s="60" t="s">
        <v>860</v>
      </c>
      <c r="C519" s="10" t="str">
        <f>"DP-02/9/2-9412/16"</f>
        <v>DP-02/9/2-9412/16</v>
      </c>
      <c r="D519" s="56">
        <v>42488</v>
      </c>
      <c r="E519" s="56">
        <v>43131</v>
      </c>
      <c r="F519" s="8">
        <v>6659.4</v>
      </c>
      <c r="G519" s="46">
        <v>6667</v>
      </c>
      <c r="H519" s="126" t="s">
        <v>1100</v>
      </c>
      <c r="I519" s="156" t="s">
        <v>2012</v>
      </c>
      <c r="J519" s="149"/>
      <c r="M519" s="158"/>
      <c r="N519" s="148"/>
      <c r="O519" s="148"/>
      <c r="P519" s="148"/>
      <c r="Q519" s="148"/>
    </row>
    <row r="520" spans="1:17" s="146" customFormat="1" ht="24" x14ac:dyDescent="0.25">
      <c r="A520" s="127">
        <v>513</v>
      </c>
      <c r="B520" s="60" t="s">
        <v>785</v>
      </c>
      <c r="C520" s="10" t="str">
        <f>"DP-02/9/3-6938/16"</f>
        <v>DP-02/9/3-6938/16</v>
      </c>
      <c r="D520" s="56">
        <v>42401</v>
      </c>
      <c r="E520" s="56">
        <v>43155</v>
      </c>
      <c r="F520" s="8">
        <v>59299.76</v>
      </c>
      <c r="G520" s="46">
        <v>59309.760000000002</v>
      </c>
      <c r="H520" s="126" t="s">
        <v>1100</v>
      </c>
      <c r="I520" s="156" t="s">
        <v>2013</v>
      </c>
      <c r="J520" s="149"/>
      <c r="M520" s="158"/>
      <c r="N520" s="148"/>
      <c r="O520" s="148"/>
      <c r="P520" s="148"/>
      <c r="Q520" s="148"/>
    </row>
    <row r="521" spans="1:17" s="146" customFormat="1" ht="24" x14ac:dyDescent="0.25">
      <c r="A521" s="127">
        <v>514</v>
      </c>
      <c r="B521" s="60" t="s">
        <v>969</v>
      </c>
      <c r="C521" s="10" t="str">
        <f>"DP-02/9/3-7411/16"</f>
        <v>DP-02/9/3-7411/16</v>
      </c>
      <c r="D521" s="56">
        <v>42424</v>
      </c>
      <c r="E521" s="56">
        <v>43155</v>
      </c>
      <c r="F521" s="8">
        <v>19041.07</v>
      </c>
      <c r="G521" s="46">
        <v>23801.34</v>
      </c>
      <c r="H521" s="126" t="s">
        <v>1100</v>
      </c>
      <c r="I521" s="156" t="s">
        <v>2014</v>
      </c>
      <c r="J521" s="149"/>
      <c r="M521" s="158"/>
      <c r="N521" s="148"/>
      <c r="O521" s="148"/>
      <c r="P521" s="148"/>
      <c r="Q521" s="148"/>
    </row>
    <row r="522" spans="1:17" s="146" customFormat="1" ht="24" x14ac:dyDescent="0.25">
      <c r="A522" s="127">
        <v>515</v>
      </c>
      <c r="B522" s="60" t="s">
        <v>786</v>
      </c>
      <c r="C522" s="10" t="str">
        <f>"POŠTANSKE USLUGE"</f>
        <v>POŠTANSKE USLUGE</v>
      </c>
      <c r="D522" s="56">
        <v>42401</v>
      </c>
      <c r="E522" s="56">
        <v>43132</v>
      </c>
      <c r="F522" s="8">
        <v>284830</v>
      </c>
      <c r="G522" s="46">
        <v>356037.5</v>
      </c>
      <c r="H522" s="126" t="s">
        <v>1100</v>
      </c>
      <c r="I522" s="156" t="s">
        <v>2015</v>
      </c>
      <c r="J522" s="149"/>
      <c r="M522" s="158"/>
      <c r="N522" s="148"/>
      <c r="O522" s="148"/>
      <c r="P522" s="148"/>
      <c r="Q522" s="148"/>
    </row>
    <row r="523" spans="1:17" s="146" customFormat="1" ht="24" x14ac:dyDescent="0.25">
      <c r="A523" s="127">
        <v>516</v>
      </c>
      <c r="B523" s="60" t="s">
        <v>534</v>
      </c>
      <c r="C523" s="10" t="str">
        <f>"561-01-16-595"</f>
        <v>561-01-16-595</v>
      </c>
      <c r="D523" s="56">
        <v>42461</v>
      </c>
      <c r="E523" s="56">
        <v>43155</v>
      </c>
      <c r="F523" s="8">
        <v>66891.100000000006</v>
      </c>
      <c r="G523" s="46">
        <v>70982.16</v>
      </c>
      <c r="H523" s="126" t="s">
        <v>1100</v>
      </c>
      <c r="I523" s="156" t="s">
        <v>2016</v>
      </c>
      <c r="J523" s="149"/>
      <c r="M523" s="158"/>
      <c r="N523" s="148"/>
      <c r="O523" s="148"/>
      <c r="P523" s="148"/>
      <c r="Q523" s="148"/>
    </row>
    <row r="524" spans="1:17" s="146" customFormat="1" ht="24" x14ac:dyDescent="0.25">
      <c r="A524" s="127">
        <v>517</v>
      </c>
      <c r="B524" s="60" t="s">
        <v>898</v>
      </c>
      <c r="C524" s="10" t="str">
        <f>"DP3/2-4072/10"</f>
        <v>DP3/2-4072/10</v>
      </c>
      <c r="D524" s="56">
        <v>42475</v>
      </c>
      <c r="E524" s="56">
        <v>43155</v>
      </c>
      <c r="F524" s="8">
        <v>9260.14</v>
      </c>
      <c r="G524" s="46">
        <v>9260.14</v>
      </c>
      <c r="H524" s="126" t="s">
        <v>1100</v>
      </c>
      <c r="I524" s="156" t="s">
        <v>2017</v>
      </c>
      <c r="J524" s="149"/>
      <c r="M524" s="158"/>
      <c r="N524" s="148"/>
      <c r="O524" s="148"/>
      <c r="P524" s="148"/>
      <c r="Q524" s="148"/>
    </row>
    <row r="525" spans="1:17" s="146" customFormat="1" ht="24" x14ac:dyDescent="0.25">
      <c r="A525" s="127">
        <v>518</v>
      </c>
      <c r="B525" s="60" t="s">
        <v>997</v>
      </c>
      <c r="C525" s="10" t="str">
        <f>"DP-02-032505/15"</f>
        <v>DP-02-032505/15</v>
      </c>
      <c r="D525" s="56">
        <v>42440</v>
      </c>
      <c r="E525" s="56">
        <v>43155</v>
      </c>
      <c r="F525" s="8">
        <v>291546.09999999998</v>
      </c>
      <c r="G525" s="46">
        <v>364432.63</v>
      </c>
      <c r="H525" s="126" t="s">
        <v>1100</v>
      </c>
      <c r="I525" s="156" t="s">
        <v>2018</v>
      </c>
      <c r="J525" s="149"/>
      <c r="M525" s="158"/>
      <c r="N525" s="148"/>
      <c r="O525" s="148"/>
      <c r="P525" s="148"/>
      <c r="Q525" s="148"/>
    </row>
    <row r="526" spans="1:17" s="146" customFormat="1" ht="24" x14ac:dyDescent="0.25">
      <c r="A526" s="127">
        <v>519</v>
      </c>
      <c r="B526" s="60" t="s">
        <v>533</v>
      </c>
      <c r="C526" s="10" t="str">
        <f>"644-1/16"</f>
        <v>644-1/16</v>
      </c>
      <c r="D526" s="56">
        <v>42387</v>
      </c>
      <c r="E526" s="56">
        <v>43155</v>
      </c>
      <c r="F526" s="8">
        <v>0</v>
      </c>
      <c r="G526" s="46">
        <v>0</v>
      </c>
      <c r="H526" s="126" t="s">
        <v>1100</v>
      </c>
      <c r="I526" s="156" t="s">
        <v>2019</v>
      </c>
      <c r="J526" s="149"/>
      <c r="M526" s="158"/>
      <c r="N526" s="148"/>
      <c r="O526" s="148"/>
      <c r="P526" s="148"/>
      <c r="Q526" s="148"/>
    </row>
    <row r="527" spans="1:17" s="146" customFormat="1" ht="24" x14ac:dyDescent="0.25">
      <c r="A527" s="127">
        <v>520</v>
      </c>
      <c r="B527" s="60" t="s">
        <v>731</v>
      </c>
      <c r="C527" s="10" t="str">
        <f>"DP-02/9/1-007020/16"</f>
        <v>DP-02/9/1-007020/16</v>
      </c>
      <c r="D527" s="56">
        <v>42487</v>
      </c>
      <c r="E527" s="56">
        <v>43101</v>
      </c>
      <c r="F527" s="8">
        <v>28898.2</v>
      </c>
      <c r="G527" s="46">
        <v>28943.8</v>
      </c>
      <c r="H527" s="126" t="s">
        <v>1100</v>
      </c>
      <c r="I527" s="156" t="s">
        <v>2020</v>
      </c>
      <c r="J527" s="149"/>
      <c r="M527" s="158"/>
      <c r="N527" s="148"/>
      <c r="O527" s="148"/>
      <c r="P527" s="148"/>
      <c r="Q527" s="148"/>
    </row>
    <row r="528" spans="1:17" s="146" customFormat="1" ht="24" x14ac:dyDescent="0.25">
      <c r="A528" s="127">
        <v>521</v>
      </c>
      <c r="B528" s="60" t="s">
        <v>702</v>
      </c>
      <c r="C528" s="10" t="str">
        <f>"2181-121-16-263"</f>
        <v>2181-121-16-263</v>
      </c>
      <c r="D528" s="56">
        <v>42487</v>
      </c>
      <c r="E528" s="56">
        <v>43101</v>
      </c>
      <c r="F528" s="8">
        <v>13680.16</v>
      </c>
      <c r="G528" s="46">
        <v>13849.64</v>
      </c>
      <c r="H528" s="126" t="s">
        <v>1100</v>
      </c>
      <c r="I528" s="156" t="s">
        <v>2021</v>
      </c>
      <c r="J528" s="149"/>
      <c r="M528" s="158"/>
      <c r="N528" s="148"/>
      <c r="O528" s="148"/>
      <c r="P528" s="148"/>
      <c r="Q528" s="148"/>
    </row>
    <row r="529" spans="1:17" s="146" customFormat="1" ht="24" x14ac:dyDescent="0.25">
      <c r="A529" s="127">
        <v>522</v>
      </c>
      <c r="B529" s="60" t="s">
        <v>739</v>
      </c>
      <c r="C529" s="10" t="str">
        <f>"DP-02/9/2-9124/16"</f>
        <v>DP-02/9/2-9124/16</v>
      </c>
      <c r="D529" s="56">
        <v>42492</v>
      </c>
      <c r="E529" s="56">
        <v>42857</v>
      </c>
      <c r="F529" s="8">
        <v>285015.58</v>
      </c>
      <c r="G529" s="46">
        <v>285654.01</v>
      </c>
      <c r="H529" s="126" t="s">
        <v>1105</v>
      </c>
      <c r="I529" s="156" t="s">
        <v>2022</v>
      </c>
      <c r="J529" s="149"/>
      <c r="M529" s="158"/>
      <c r="N529" s="148"/>
      <c r="O529" s="148"/>
      <c r="P529" s="148"/>
      <c r="Q529" s="148"/>
    </row>
    <row r="530" spans="1:17" s="146" customFormat="1" ht="24" x14ac:dyDescent="0.25">
      <c r="A530" s="127">
        <v>523</v>
      </c>
      <c r="B530" s="60" t="s">
        <v>653</v>
      </c>
      <c r="C530" s="10" t="str">
        <f>"02/9/2-008173/16"</f>
        <v>02/9/2-008173/16</v>
      </c>
      <c r="D530" s="56">
        <v>42461</v>
      </c>
      <c r="E530" s="56">
        <v>43155</v>
      </c>
      <c r="F530" s="8">
        <v>12521.46</v>
      </c>
      <c r="G530" s="46">
        <v>12687.31</v>
      </c>
      <c r="H530" s="126" t="s">
        <v>1100</v>
      </c>
      <c r="I530" s="156" t="s">
        <v>2023</v>
      </c>
      <c r="J530" s="149"/>
      <c r="M530" s="158"/>
      <c r="N530" s="148"/>
      <c r="O530" s="148"/>
      <c r="P530" s="148"/>
      <c r="Q530" s="148"/>
    </row>
    <row r="531" spans="1:17" s="146" customFormat="1" ht="36" x14ac:dyDescent="0.25">
      <c r="A531" s="127">
        <v>524</v>
      </c>
      <c r="B531" s="60" t="s">
        <v>755</v>
      </c>
      <c r="C531" s="10" t="str">
        <f>"POŠTANSKE USLUGE"</f>
        <v>POŠTANSKE USLUGE</v>
      </c>
      <c r="D531" s="56">
        <v>42173</v>
      </c>
      <c r="E531" s="56">
        <v>43831</v>
      </c>
      <c r="F531" s="8">
        <v>10</v>
      </c>
      <c r="G531" s="46">
        <v>12.5</v>
      </c>
      <c r="H531" s="126" t="s">
        <v>1471</v>
      </c>
      <c r="I531" s="156" t="s">
        <v>2024</v>
      </c>
      <c r="J531" s="149"/>
      <c r="M531" s="158"/>
      <c r="N531" s="148"/>
      <c r="O531" s="148"/>
      <c r="P531" s="148"/>
      <c r="Q531" s="148"/>
    </row>
    <row r="532" spans="1:17" s="146" customFormat="1" ht="24" x14ac:dyDescent="0.25">
      <c r="A532" s="127">
        <v>525</v>
      </c>
      <c r="B532" s="60" t="s">
        <v>918</v>
      </c>
      <c r="C532" s="10" t="str">
        <f>"DP-02/9/1-017107/15"</f>
        <v>DP-02/9/1-017107/15</v>
      </c>
      <c r="D532" s="56">
        <v>42851</v>
      </c>
      <c r="E532" s="56">
        <v>43210</v>
      </c>
      <c r="F532" s="8">
        <v>120000</v>
      </c>
      <c r="G532" s="46">
        <v>150000</v>
      </c>
      <c r="H532" s="126" t="s">
        <v>1102</v>
      </c>
      <c r="I532" s="156" t="s">
        <v>2025</v>
      </c>
      <c r="J532" s="149"/>
      <c r="M532" s="158"/>
      <c r="N532" s="148"/>
      <c r="O532" s="148"/>
      <c r="P532" s="148"/>
      <c r="Q532" s="148"/>
    </row>
    <row r="533" spans="1:17" s="146" customFormat="1" ht="24" x14ac:dyDescent="0.25">
      <c r="A533" s="127">
        <v>526</v>
      </c>
      <c r="B533" s="60" t="s">
        <v>998</v>
      </c>
      <c r="C533" s="10" t="str">
        <f>"DP-2-25206/12"</f>
        <v>DP-2-25206/12</v>
      </c>
      <c r="D533" s="118">
        <v>41270</v>
      </c>
      <c r="E533" s="118">
        <v>43461</v>
      </c>
      <c r="F533" s="121">
        <v>63750</v>
      </c>
      <c r="G533" s="155">
        <v>85000</v>
      </c>
      <c r="H533" s="126" t="s">
        <v>1100</v>
      </c>
      <c r="I533" s="156" t="s">
        <v>2026</v>
      </c>
      <c r="J533" s="149"/>
      <c r="M533" s="158"/>
      <c r="N533" s="148"/>
      <c r="O533" s="148"/>
      <c r="P533" s="148"/>
      <c r="Q533" s="148"/>
    </row>
    <row r="534" spans="1:17" s="146" customFormat="1" ht="24" x14ac:dyDescent="0.25">
      <c r="A534" s="127">
        <v>527</v>
      </c>
      <c r="B534" s="60" t="s">
        <v>576</v>
      </c>
      <c r="C534" s="10" t="str">
        <f>"433/16"</f>
        <v>433/16</v>
      </c>
      <c r="D534" s="56">
        <v>42527</v>
      </c>
      <c r="E534" s="56">
        <v>42892</v>
      </c>
      <c r="F534" s="8">
        <v>3100</v>
      </c>
      <c r="G534" s="46">
        <v>3875</v>
      </c>
      <c r="H534" s="126" t="s">
        <v>1100</v>
      </c>
      <c r="I534" s="156" t="s">
        <v>2027</v>
      </c>
      <c r="J534" s="149"/>
      <c r="M534" s="158"/>
      <c r="N534" s="148"/>
      <c r="O534" s="148"/>
      <c r="P534" s="148"/>
      <c r="Q534" s="148"/>
    </row>
    <row r="535" spans="1:17" ht="7.5" customHeight="1" x14ac:dyDescent="0.25">
      <c r="M535" s="148"/>
      <c r="N535" s="148"/>
      <c r="O535" s="148"/>
      <c r="P535" s="148"/>
      <c r="Q535" s="148"/>
    </row>
    <row r="536" spans="1:17" ht="15" customHeight="1" x14ac:dyDescent="0.25">
      <c r="B536" s="174" t="s">
        <v>2028</v>
      </c>
      <c r="C536" s="174"/>
      <c r="D536" s="174"/>
      <c r="E536" s="174"/>
      <c r="F536" s="174"/>
      <c r="G536" s="174"/>
      <c r="H536" s="174"/>
      <c r="I536" s="174"/>
      <c r="J536" s="174"/>
      <c r="M536" s="148"/>
      <c r="N536" s="148"/>
      <c r="O536" s="148"/>
      <c r="P536" s="148"/>
      <c r="Q536" s="148"/>
    </row>
    <row r="537" spans="1:17" ht="15" customHeight="1" x14ac:dyDescent="0.25">
      <c r="M537" s="148"/>
      <c r="N537" s="148"/>
      <c r="O537" s="148"/>
      <c r="P537" s="148"/>
      <c r="Q537" s="148"/>
    </row>
    <row r="538" spans="1:17" x14ac:dyDescent="0.25">
      <c r="M538" s="148"/>
      <c r="N538" s="148"/>
      <c r="O538" s="148"/>
      <c r="P538" s="148"/>
      <c r="Q538" s="148"/>
    </row>
    <row r="539" spans="1:17" x14ac:dyDescent="0.25">
      <c r="M539" s="148"/>
      <c r="N539" s="148"/>
      <c r="O539" s="148"/>
      <c r="P539" s="148"/>
      <c r="Q539" s="148"/>
    </row>
    <row r="540" spans="1:17" x14ac:dyDescent="0.25">
      <c r="M540" s="148"/>
      <c r="N540" s="148"/>
      <c r="O540" s="148"/>
      <c r="P540" s="148"/>
      <c r="Q540" s="148"/>
    </row>
    <row r="541" spans="1:17" x14ac:dyDescent="0.25">
      <c r="M541" s="148"/>
      <c r="N541" s="148"/>
      <c r="O541" s="148"/>
      <c r="P541" s="148"/>
      <c r="Q541" s="148"/>
    </row>
    <row r="542" spans="1:17" x14ac:dyDescent="0.25">
      <c r="M542" s="148"/>
      <c r="N542" s="148"/>
      <c r="O542" s="148"/>
      <c r="P542" s="148"/>
      <c r="Q542" s="148"/>
    </row>
    <row r="543" spans="1:17" x14ac:dyDescent="0.25">
      <c r="M543" s="148"/>
      <c r="N543" s="148"/>
      <c r="O543" s="148"/>
      <c r="P543" s="148"/>
      <c r="Q543" s="148"/>
    </row>
    <row r="544" spans="1:17" x14ac:dyDescent="0.25">
      <c r="M544" s="148"/>
      <c r="N544" s="148"/>
      <c r="O544" s="148"/>
      <c r="P544" s="148"/>
      <c r="Q544" s="148"/>
    </row>
  </sheetData>
  <sheetProtection algorithmName="SHA-512" hashValue="0tDE02GoXC7poL4+rHJcOv9ooUJh5BjjDzC0rNltC+Kh8oIUoL4SB+/ZLM4LGviyf8NQKf63lK39WoQG26OdkA==" saltValue="Q3QeEbyPE4I/AGPmrDLRTA==" spinCount="100000" sheet="1" objects="1" scenarios="1"/>
  <mergeCells count="7">
    <mergeCell ref="B536:J536"/>
    <mergeCell ref="A1:N1"/>
    <mergeCell ref="D2:E2"/>
    <mergeCell ref="D3:E3"/>
    <mergeCell ref="N3:N4"/>
    <mergeCell ref="A4:L4"/>
    <mergeCell ref="A6:J6"/>
  </mergeCells>
  <pageMargins left="0.23622047244094491" right="0.23622047244094491" top="0.98425196850393704" bottom="0.59055118110236227" header="0.31496062992125984" footer="0.31496062992125984"/>
  <pageSetup scale="69" fitToHeight="0" orientation="landscape" r:id="rId1"/>
  <headerFooter>
    <oddHeader>&amp;L&amp;G&amp;CRegistar okvirnih sporazuma i ugovora za 2016. godinu 
za predmete nabave iz nadležnosti Središnjeg državnog ureda za središnju javnu nabavu</oddHeader>
    <oddFooter>&amp;L&amp;D&amp;C &amp;A&amp;R&amp;P/&amp;N</oddFooter>
  </headerFooter>
  <ignoredErrors>
    <ignoredError sqref="I8:I534" numberStoredAsText="1"/>
  </ignoredError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P727"/>
  <sheetViews>
    <sheetView view="pageLayout" zoomScaleNormal="100" workbookViewId="0">
      <selection sqref="A1:N1"/>
    </sheetView>
  </sheetViews>
  <sheetFormatPr defaultRowHeight="15" x14ac:dyDescent="0.25"/>
  <cols>
    <col min="1" max="1" width="4.85546875" customWidth="1"/>
    <col min="2" max="2" width="26.140625" customWidth="1"/>
    <col min="3" max="3" width="12" customWidth="1"/>
    <col min="4" max="4" width="13.42578125" customWidth="1"/>
    <col min="5" max="5" width="14" customWidth="1"/>
    <col min="6" max="6" width="15.28515625" customWidth="1"/>
    <col min="7" max="10" width="13.5703125" customWidth="1"/>
    <col min="11" max="13" width="14.28515625" customWidth="1"/>
    <col min="14" max="14" width="11.42578125" customWidth="1"/>
  </cols>
  <sheetData>
    <row r="1" spans="1:16" x14ac:dyDescent="0.25">
      <c r="A1" s="175" t="s">
        <v>43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6" ht="36" x14ac:dyDescent="0.25">
      <c r="A2" s="53" t="s">
        <v>0</v>
      </c>
      <c r="B2" s="54" t="s">
        <v>1</v>
      </c>
      <c r="C2" s="54" t="s">
        <v>3</v>
      </c>
      <c r="D2" s="178" t="s">
        <v>171</v>
      </c>
      <c r="E2" s="178"/>
      <c r="F2" s="54" t="s">
        <v>166</v>
      </c>
      <c r="G2" s="54" t="s">
        <v>170</v>
      </c>
      <c r="H2" s="54" t="s">
        <v>167</v>
      </c>
      <c r="I2" s="54" t="s">
        <v>4</v>
      </c>
      <c r="J2" s="54" t="s">
        <v>5</v>
      </c>
      <c r="K2" s="54" t="s">
        <v>2</v>
      </c>
      <c r="L2" s="54" t="s">
        <v>172</v>
      </c>
      <c r="M2" s="54" t="s">
        <v>173</v>
      </c>
      <c r="N2" s="54" t="s">
        <v>169</v>
      </c>
    </row>
    <row r="3" spans="1:16" ht="23.25" customHeight="1" x14ac:dyDescent="0.25">
      <c r="A3" s="1">
        <v>1</v>
      </c>
      <c r="B3" s="13" t="s">
        <v>62</v>
      </c>
      <c r="C3" s="14" t="s">
        <v>95</v>
      </c>
      <c r="D3" s="192" t="s">
        <v>1043</v>
      </c>
      <c r="E3" s="192"/>
      <c r="F3" s="38" t="s">
        <v>106</v>
      </c>
      <c r="G3" s="38" t="s">
        <v>1010</v>
      </c>
      <c r="H3" s="1" t="s">
        <v>15</v>
      </c>
      <c r="I3" s="15">
        <v>42360</v>
      </c>
      <c r="J3" s="1" t="s">
        <v>51</v>
      </c>
      <c r="K3" s="8">
        <v>14227200</v>
      </c>
      <c r="L3" s="8">
        <v>0</v>
      </c>
      <c r="M3" s="8">
        <v>14227200</v>
      </c>
      <c r="N3" s="176"/>
    </row>
    <row r="4" spans="1:16" ht="15" customHeight="1" x14ac:dyDescent="0.25">
      <c r="A4" s="177" t="s">
        <v>1012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37">
        <v>7113600</v>
      </c>
      <c r="N4" s="176"/>
    </row>
    <row r="5" spans="1:16" ht="7.5" customHeight="1" x14ac:dyDescent="0.25">
      <c r="L5" s="47"/>
    </row>
    <row r="6" spans="1:16" ht="15" customHeight="1" x14ac:dyDescent="0.25">
      <c r="A6" s="175" t="s">
        <v>12</v>
      </c>
      <c r="B6" s="175"/>
      <c r="C6" s="175"/>
      <c r="D6" s="175"/>
      <c r="E6" s="175"/>
      <c r="F6" s="175"/>
      <c r="G6" s="175"/>
      <c r="H6" s="175"/>
      <c r="I6" s="175"/>
      <c r="J6" s="175"/>
      <c r="K6" s="49"/>
      <c r="L6" s="49"/>
    </row>
    <row r="7" spans="1:16" ht="48" customHeight="1" x14ac:dyDescent="0.25">
      <c r="A7" s="2" t="s">
        <v>0</v>
      </c>
      <c r="B7" s="3" t="s">
        <v>7</v>
      </c>
      <c r="C7" s="3" t="s">
        <v>6</v>
      </c>
      <c r="D7" s="3" t="s">
        <v>8</v>
      </c>
      <c r="E7" s="3" t="s">
        <v>168</v>
      </c>
      <c r="F7" s="3" t="s">
        <v>174</v>
      </c>
      <c r="G7" s="3" t="s">
        <v>175</v>
      </c>
      <c r="H7" s="3" t="s">
        <v>9</v>
      </c>
      <c r="I7" s="3" t="s">
        <v>176</v>
      </c>
      <c r="J7" s="3" t="s">
        <v>10</v>
      </c>
      <c r="K7" s="48"/>
      <c r="L7" s="48"/>
      <c r="M7" s="48"/>
    </row>
    <row r="8" spans="1:16" ht="24" x14ac:dyDescent="0.25">
      <c r="A8" s="38">
        <v>1</v>
      </c>
      <c r="B8" s="60" t="s">
        <v>191</v>
      </c>
      <c r="C8" s="10" t="str">
        <f>"POLICA ZA 2017."</f>
        <v>POLICA ZA 2017.</v>
      </c>
      <c r="D8" s="56">
        <v>42725</v>
      </c>
      <c r="E8" s="56">
        <v>43100</v>
      </c>
      <c r="F8" s="8">
        <v>7113600</v>
      </c>
      <c r="G8" s="8">
        <v>7113600</v>
      </c>
      <c r="H8" s="56">
        <v>43100</v>
      </c>
      <c r="I8" s="37">
        <v>7113600</v>
      </c>
      <c r="J8" s="72"/>
    </row>
    <row r="9" spans="1:16" ht="7.5" customHeight="1" x14ac:dyDescent="0.25">
      <c r="A9" s="25"/>
      <c r="B9" s="28"/>
      <c r="C9" s="29"/>
      <c r="D9" s="29"/>
      <c r="E9" s="30"/>
      <c r="F9" s="30"/>
      <c r="G9" s="21"/>
      <c r="H9" s="30"/>
      <c r="I9" s="21"/>
      <c r="J9" s="21"/>
      <c r="K9" s="31"/>
      <c r="L9" s="20"/>
      <c r="M9" s="20"/>
      <c r="N9" s="20"/>
      <c r="O9" s="20"/>
      <c r="P9" s="20"/>
    </row>
    <row r="10" spans="1:16" x14ac:dyDescent="0.25">
      <c r="A10" s="175" t="s">
        <v>43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</row>
    <row r="11" spans="1:16" ht="36" x14ac:dyDescent="0.25">
      <c r="A11" s="53" t="s">
        <v>0</v>
      </c>
      <c r="B11" s="54" t="s">
        <v>1</v>
      </c>
      <c r="C11" s="54" t="s">
        <v>3</v>
      </c>
      <c r="D11" s="178" t="s">
        <v>171</v>
      </c>
      <c r="E11" s="178"/>
      <c r="F11" s="54" t="s">
        <v>166</v>
      </c>
      <c r="G11" s="54" t="s">
        <v>170</v>
      </c>
      <c r="H11" s="54" t="s">
        <v>167</v>
      </c>
      <c r="I11" s="54" t="s">
        <v>4</v>
      </c>
      <c r="J11" s="54" t="s">
        <v>5</v>
      </c>
      <c r="K11" s="54" t="s">
        <v>2</v>
      </c>
      <c r="L11" s="54" t="s">
        <v>172</v>
      </c>
      <c r="M11" s="54" t="s">
        <v>173</v>
      </c>
      <c r="N11" s="54" t="s">
        <v>169</v>
      </c>
    </row>
    <row r="12" spans="1:16" ht="36" x14ac:dyDescent="0.25">
      <c r="A12" s="1">
        <v>1</v>
      </c>
      <c r="B12" s="33" t="s">
        <v>63</v>
      </c>
      <c r="C12" s="34" t="s">
        <v>44</v>
      </c>
      <c r="D12" s="192" t="s">
        <v>1043</v>
      </c>
      <c r="E12" s="192"/>
      <c r="F12" s="32" t="s">
        <v>66</v>
      </c>
      <c r="G12" s="38" t="s">
        <v>1010</v>
      </c>
      <c r="H12" s="32" t="s">
        <v>15</v>
      </c>
      <c r="I12" s="35">
        <v>42243</v>
      </c>
      <c r="J12" s="32" t="s">
        <v>51</v>
      </c>
      <c r="K12" s="36">
        <v>10060632.9</v>
      </c>
      <c r="L12" s="96">
        <v>0</v>
      </c>
      <c r="M12" s="96">
        <v>10060632.9</v>
      </c>
      <c r="N12" s="176"/>
    </row>
    <row r="13" spans="1:16" ht="15" customHeight="1" x14ac:dyDescent="0.25">
      <c r="A13" s="177" t="s">
        <v>1012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96">
        <v>2800152.77</v>
      </c>
      <c r="N13" s="176"/>
    </row>
    <row r="14" spans="1:16" ht="7.5" customHeight="1" x14ac:dyDescent="0.25">
      <c r="L14" s="47"/>
    </row>
    <row r="15" spans="1:16" ht="15" customHeight="1" x14ac:dyDescent="0.25">
      <c r="A15" s="175" t="s">
        <v>12</v>
      </c>
      <c r="B15" s="175"/>
      <c r="C15" s="175"/>
      <c r="D15" s="175"/>
      <c r="E15" s="175"/>
      <c r="F15" s="175"/>
      <c r="G15" s="175"/>
      <c r="H15" s="175"/>
      <c r="I15" s="175"/>
      <c r="J15" s="175"/>
      <c r="K15" s="49"/>
      <c r="L15" s="49"/>
    </row>
    <row r="16" spans="1:16" ht="48" customHeight="1" x14ac:dyDescent="0.25">
      <c r="A16" s="2" t="s">
        <v>0</v>
      </c>
      <c r="B16" s="3" t="s">
        <v>7</v>
      </c>
      <c r="C16" s="3" t="s">
        <v>6</v>
      </c>
      <c r="D16" s="3" t="s">
        <v>8</v>
      </c>
      <c r="E16" s="3" t="s">
        <v>168</v>
      </c>
      <c r="F16" s="3" t="s">
        <v>174</v>
      </c>
      <c r="G16" s="3" t="s">
        <v>175</v>
      </c>
      <c r="H16" s="3" t="s">
        <v>9</v>
      </c>
      <c r="I16" s="3" t="s">
        <v>176</v>
      </c>
      <c r="J16" s="3" t="s">
        <v>10</v>
      </c>
      <c r="K16" s="48"/>
      <c r="L16" s="48"/>
      <c r="M16" s="48"/>
    </row>
    <row r="17" spans="1:11" ht="24" x14ac:dyDescent="0.25">
      <c r="A17" s="38">
        <v>1</v>
      </c>
      <c r="B17" s="60" t="s">
        <v>187</v>
      </c>
      <c r="C17" s="10" t="str">
        <f>"4/2015-U1"</f>
        <v>4/2015-U1</v>
      </c>
      <c r="D17" s="56">
        <v>42248</v>
      </c>
      <c r="E17" s="59"/>
      <c r="F17" s="8">
        <v>88000</v>
      </c>
      <c r="G17" s="8">
        <v>110000</v>
      </c>
      <c r="H17" s="56">
        <v>42369</v>
      </c>
      <c r="I17" s="24">
        <v>2596.56</v>
      </c>
      <c r="J17" s="77"/>
    </row>
    <row r="18" spans="1:11" x14ac:dyDescent="0.25">
      <c r="A18" s="115">
        <v>2</v>
      </c>
      <c r="B18" s="60" t="s">
        <v>212</v>
      </c>
      <c r="C18" s="10" t="str">
        <f>"04/2015"</f>
        <v>04/2015</v>
      </c>
      <c r="D18" s="56">
        <v>42481</v>
      </c>
      <c r="E18" s="59"/>
      <c r="F18" s="8">
        <v>14123.83</v>
      </c>
      <c r="G18" s="8">
        <v>17654.79</v>
      </c>
      <c r="H18" s="56">
        <v>43100</v>
      </c>
      <c r="I18" s="24">
        <v>23425.38</v>
      </c>
      <c r="J18" s="77"/>
    </row>
    <row r="19" spans="1:11" x14ac:dyDescent="0.25">
      <c r="A19" s="115">
        <v>3</v>
      </c>
      <c r="B19" s="60" t="s">
        <v>212</v>
      </c>
      <c r="C19" s="10" t="str">
        <f>"1040/2015"</f>
        <v>1040/2015</v>
      </c>
      <c r="D19" s="56">
        <v>42297</v>
      </c>
      <c r="E19" s="59"/>
      <c r="F19" s="8">
        <v>270.91000000000003</v>
      </c>
      <c r="G19" s="8">
        <v>338.64</v>
      </c>
      <c r="H19" s="56">
        <v>42297</v>
      </c>
      <c r="I19" s="24">
        <v>270.91000000000003</v>
      </c>
      <c r="J19" s="77"/>
      <c r="K19" s="48"/>
    </row>
    <row r="20" spans="1:11" x14ac:dyDescent="0.25">
      <c r="A20" s="115">
        <v>4</v>
      </c>
      <c r="B20" s="60" t="s">
        <v>212</v>
      </c>
      <c r="C20" s="10" t="str">
        <f>"1041/2015"</f>
        <v>1041/2015</v>
      </c>
      <c r="D20" s="56">
        <v>42297</v>
      </c>
      <c r="E20" s="59"/>
      <c r="F20" s="8">
        <v>370.43</v>
      </c>
      <c r="G20" s="8">
        <v>463.04</v>
      </c>
      <c r="H20" s="56">
        <v>42297</v>
      </c>
      <c r="I20" s="24">
        <v>370.43</v>
      </c>
      <c r="J20" s="77"/>
    </row>
    <row r="21" spans="1:11" x14ac:dyDescent="0.25">
      <c r="A21" s="115">
        <v>5</v>
      </c>
      <c r="B21" s="60" t="s">
        <v>212</v>
      </c>
      <c r="C21" s="10" t="str">
        <f>"1042/2015"</f>
        <v>1042/2015</v>
      </c>
      <c r="D21" s="56">
        <v>42297</v>
      </c>
      <c r="E21" s="59"/>
      <c r="F21" s="8">
        <v>406.37</v>
      </c>
      <c r="G21" s="8">
        <v>507.96</v>
      </c>
      <c r="H21" s="56">
        <v>42297</v>
      </c>
      <c r="I21" s="24">
        <v>406.37</v>
      </c>
      <c r="J21" s="77"/>
    </row>
    <row r="22" spans="1:11" x14ac:dyDescent="0.25">
      <c r="A22" s="115">
        <v>6</v>
      </c>
      <c r="B22" s="60" t="s">
        <v>212</v>
      </c>
      <c r="C22" s="10" t="str">
        <f>"1043/2015"</f>
        <v>1043/2015</v>
      </c>
      <c r="D22" s="56">
        <v>42297</v>
      </c>
      <c r="E22" s="59"/>
      <c r="F22" s="8">
        <v>270.91000000000003</v>
      </c>
      <c r="G22" s="8">
        <v>338.64</v>
      </c>
      <c r="H22" s="56">
        <v>42297</v>
      </c>
      <c r="I22" s="24">
        <v>270.91000000000003</v>
      </c>
      <c r="J22" s="77"/>
      <c r="K22" s="48"/>
    </row>
    <row r="23" spans="1:11" x14ac:dyDescent="0.25">
      <c r="A23" s="115">
        <v>7</v>
      </c>
      <c r="B23" s="60" t="s">
        <v>212</v>
      </c>
      <c r="C23" s="10" t="str">
        <f>"1044/2015"</f>
        <v>1044/2015</v>
      </c>
      <c r="D23" s="56">
        <v>42297</v>
      </c>
      <c r="E23" s="59"/>
      <c r="F23" s="8">
        <v>370.43</v>
      </c>
      <c r="G23" s="8">
        <v>463.04</v>
      </c>
      <c r="H23" s="56">
        <v>42297</v>
      </c>
      <c r="I23" s="24">
        <v>370.43</v>
      </c>
      <c r="J23" s="77"/>
    </row>
    <row r="24" spans="1:11" x14ac:dyDescent="0.25">
      <c r="A24" s="115">
        <v>8</v>
      </c>
      <c r="B24" s="60" t="s">
        <v>212</v>
      </c>
      <c r="C24" s="10" t="str">
        <f>"1045/2015"</f>
        <v>1045/2015</v>
      </c>
      <c r="D24" s="56">
        <v>42297</v>
      </c>
      <c r="E24" s="59"/>
      <c r="F24" s="8">
        <v>270.91000000000003</v>
      </c>
      <c r="G24" s="8">
        <v>338.64</v>
      </c>
      <c r="H24" s="56">
        <v>42297</v>
      </c>
      <c r="I24" s="24">
        <v>270.91000000000003</v>
      </c>
      <c r="J24" s="77"/>
    </row>
    <row r="25" spans="1:11" x14ac:dyDescent="0.25">
      <c r="A25" s="115">
        <v>9</v>
      </c>
      <c r="B25" s="60" t="s">
        <v>212</v>
      </c>
      <c r="C25" s="10" t="str">
        <f>"1046/2015"</f>
        <v>1046/2015</v>
      </c>
      <c r="D25" s="56">
        <v>42297</v>
      </c>
      <c r="E25" s="59"/>
      <c r="F25" s="8">
        <v>361.21</v>
      </c>
      <c r="G25" s="8">
        <v>451.51</v>
      </c>
      <c r="H25" s="56">
        <v>42297</v>
      </c>
      <c r="I25" s="24">
        <v>361.21</v>
      </c>
      <c r="J25" s="77"/>
      <c r="K25" s="48"/>
    </row>
    <row r="26" spans="1:11" x14ac:dyDescent="0.25">
      <c r="A26" s="115">
        <v>10</v>
      </c>
      <c r="B26" s="60" t="s">
        <v>212</v>
      </c>
      <c r="C26" s="10" t="str">
        <f>"1047/2015"</f>
        <v>1047/2015</v>
      </c>
      <c r="D26" s="56">
        <v>42297</v>
      </c>
      <c r="E26" s="59"/>
      <c r="F26" s="8">
        <v>370.43</v>
      </c>
      <c r="G26" s="8">
        <v>463.04</v>
      </c>
      <c r="H26" s="56">
        <v>42297</v>
      </c>
      <c r="I26" s="24">
        <v>370.43</v>
      </c>
      <c r="J26" s="77"/>
    </row>
    <row r="27" spans="1:11" x14ac:dyDescent="0.25">
      <c r="A27" s="115">
        <v>11</v>
      </c>
      <c r="B27" s="60" t="s">
        <v>212</v>
      </c>
      <c r="C27" s="10" t="str">
        <f>"1049/2015"</f>
        <v>1049/2015</v>
      </c>
      <c r="D27" s="56">
        <v>42297</v>
      </c>
      <c r="E27" s="59"/>
      <c r="F27" s="8">
        <v>270.91000000000003</v>
      </c>
      <c r="G27" s="8">
        <v>338.64</v>
      </c>
      <c r="H27" s="56">
        <v>42297</v>
      </c>
      <c r="I27" s="24">
        <v>270.91000000000003</v>
      </c>
      <c r="J27" s="77"/>
    </row>
    <row r="28" spans="1:11" x14ac:dyDescent="0.25">
      <c r="A28" s="115">
        <v>12</v>
      </c>
      <c r="B28" s="60" t="s">
        <v>212</v>
      </c>
      <c r="C28" s="10" t="str">
        <f>"1051/2015"</f>
        <v>1051/2015</v>
      </c>
      <c r="D28" s="56">
        <v>42297</v>
      </c>
      <c r="E28" s="59"/>
      <c r="F28" s="8">
        <v>270.91000000000003</v>
      </c>
      <c r="G28" s="8">
        <v>338.64</v>
      </c>
      <c r="H28" s="56">
        <v>42297</v>
      </c>
      <c r="I28" s="24">
        <v>270.91000000000003</v>
      </c>
      <c r="J28" s="77"/>
      <c r="K28" s="48"/>
    </row>
    <row r="29" spans="1:11" x14ac:dyDescent="0.25">
      <c r="A29" s="115">
        <v>13</v>
      </c>
      <c r="B29" s="60" t="s">
        <v>212</v>
      </c>
      <c r="C29" s="10" t="str">
        <f>"1052/2015"</f>
        <v>1052/2015</v>
      </c>
      <c r="D29" s="56">
        <v>42297</v>
      </c>
      <c r="E29" s="59"/>
      <c r="F29" s="8">
        <v>1690.76</v>
      </c>
      <c r="G29" s="8">
        <v>2113.4499999999998</v>
      </c>
      <c r="H29" s="56">
        <v>42342</v>
      </c>
      <c r="I29" s="24">
        <v>5610.01</v>
      </c>
      <c r="J29" s="77"/>
    </row>
    <row r="30" spans="1:11" ht="24" x14ac:dyDescent="0.25">
      <c r="A30" s="115">
        <v>14</v>
      </c>
      <c r="B30" s="60" t="s">
        <v>209</v>
      </c>
      <c r="C30" s="10" t="str">
        <f>"DHMZ-4/2015"</f>
        <v>DHMZ-4/2015</v>
      </c>
      <c r="D30" s="56">
        <v>42331</v>
      </c>
      <c r="E30" s="59"/>
      <c r="F30" s="8">
        <v>210000</v>
      </c>
      <c r="G30" s="8">
        <v>262500</v>
      </c>
      <c r="H30" s="56">
        <v>42825</v>
      </c>
      <c r="I30" s="24">
        <v>34586.370000000003</v>
      </c>
      <c r="J30" s="77"/>
    </row>
    <row r="31" spans="1:11" ht="24" x14ac:dyDescent="0.25">
      <c r="A31" s="115">
        <v>15</v>
      </c>
      <c r="B31" s="60" t="s">
        <v>194</v>
      </c>
      <c r="C31" s="10" t="str">
        <f>"504/15"</f>
        <v>504/15</v>
      </c>
      <c r="D31" s="56">
        <v>42276</v>
      </c>
      <c r="E31" s="59"/>
      <c r="F31" s="8">
        <v>14302.14</v>
      </c>
      <c r="G31" s="8">
        <v>17877.68</v>
      </c>
      <c r="H31" s="56">
        <v>42276</v>
      </c>
      <c r="I31" s="24">
        <v>2474.46</v>
      </c>
      <c r="J31" s="77"/>
      <c r="K31" s="48"/>
    </row>
    <row r="32" spans="1:11" ht="24" x14ac:dyDescent="0.25">
      <c r="A32" s="115">
        <v>16</v>
      </c>
      <c r="B32" s="60" t="s">
        <v>194</v>
      </c>
      <c r="C32" s="10" t="str">
        <f>"561/15"</f>
        <v>561/15</v>
      </c>
      <c r="D32" s="56">
        <v>42304</v>
      </c>
      <c r="E32" s="59"/>
      <c r="F32" s="8">
        <v>1179.9000000000001</v>
      </c>
      <c r="G32" s="8">
        <v>1474.88</v>
      </c>
      <c r="H32" s="56">
        <v>42304</v>
      </c>
      <c r="I32" s="24">
        <v>1179.9000000000001</v>
      </c>
      <c r="J32" s="77"/>
    </row>
    <row r="33" spans="1:11" ht="24" x14ac:dyDescent="0.25">
      <c r="A33" s="115">
        <v>17</v>
      </c>
      <c r="B33" s="60" t="s">
        <v>194</v>
      </c>
      <c r="C33" s="10" t="str">
        <f>"59/15"</f>
        <v>59/15</v>
      </c>
      <c r="D33" s="56">
        <v>42318</v>
      </c>
      <c r="E33" s="59"/>
      <c r="F33" s="8">
        <v>282.2</v>
      </c>
      <c r="G33" s="8">
        <v>352.75</v>
      </c>
      <c r="H33" s="56">
        <v>42318</v>
      </c>
      <c r="I33" s="24">
        <v>282.2</v>
      </c>
      <c r="J33" s="77"/>
    </row>
    <row r="34" spans="1:11" ht="24" x14ac:dyDescent="0.25">
      <c r="A34" s="115">
        <v>18</v>
      </c>
      <c r="B34" s="60" t="s">
        <v>194</v>
      </c>
      <c r="C34" s="10" t="str">
        <f>"631/15"</f>
        <v>631/15</v>
      </c>
      <c r="D34" s="56">
        <v>42334</v>
      </c>
      <c r="E34" s="59"/>
      <c r="F34" s="8">
        <v>564.4</v>
      </c>
      <c r="G34" s="8">
        <v>705.5</v>
      </c>
      <c r="H34" s="56">
        <v>42334</v>
      </c>
      <c r="I34" s="24">
        <v>564.4</v>
      </c>
      <c r="J34" s="77"/>
      <c r="K34" s="48"/>
    </row>
    <row r="35" spans="1:11" ht="24" x14ac:dyDescent="0.25">
      <c r="A35" s="115">
        <v>19</v>
      </c>
      <c r="B35" s="60" t="s">
        <v>194</v>
      </c>
      <c r="C35" s="10" t="str">
        <f>"661/15"</f>
        <v>661/15</v>
      </c>
      <c r="D35" s="56">
        <v>42347</v>
      </c>
      <c r="E35" s="59"/>
      <c r="F35" s="8">
        <v>8218.2099999999991</v>
      </c>
      <c r="G35" s="8">
        <v>10272.76</v>
      </c>
      <c r="H35" s="56">
        <v>42347</v>
      </c>
      <c r="I35" s="24">
        <v>1179.8</v>
      </c>
      <c r="J35" s="77"/>
    </row>
    <row r="36" spans="1:11" ht="24" x14ac:dyDescent="0.25">
      <c r="A36" s="115">
        <v>20</v>
      </c>
      <c r="B36" s="60" t="s">
        <v>194</v>
      </c>
      <c r="C36" s="10" t="str">
        <f>"149/15"</f>
        <v>149/15</v>
      </c>
      <c r="D36" s="56">
        <v>42086</v>
      </c>
      <c r="E36" s="59"/>
      <c r="F36" s="8">
        <v>0</v>
      </c>
      <c r="G36" s="8">
        <v>0</v>
      </c>
      <c r="H36" s="56">
        <v>42369</v>
      </c>
      <c r="I36" s="24">
        <v>0</v>
      </c>
      <c r="J36" s="77"/>
    </row>
    <row r="37" spans="1:11" ht="36" x14ac:dyDescent="0.25">
      <c r="A37" s="115">
        <v>21</v>
      </c>
      <c r="B37" s="60" t="s">
        <v>192</v>
      </c>
      <c r="C37" s="10" t="str">
        <f>"518/2015"</f>
        <v>518/2015</v>
      </c>
      <c r="D37" s="56">
        <v>42288</v>
      </c>
      <c r="E37" s="59"/>
      <c r="F37" s="8">
        <v>338</v>
      </c>
      <c r="G37" s="91"/>
      <c r="H37" s="56">
        <v>42369</v>
      </c>
      <c r="I37" s="24">
        <v>338</v>
      </c>
      <c r="J37" s="77"/>
      <c r="K37" s="48"/>
    </row>
    <row r="38" spans="1:11" ht="36" x14ac:dyDescent="0.25">
      <c r="A38" s="115">
        <v>22</v>
      </c>
      <c r="B38" s="60" t="s">
        <v>192</v>
      </c>
      <c r="C38" s="10" t="str">
        <f>"768/2015"</f>
        <v>768/2015</v>
      </c>
      <c r="D38" s="56">
        <v>42304</v>
      </c>
      <c r="E38" s="59"/>
      <c r="F38" s="8">
        <v>338</v>
      </c>
      <c r="G38" s="91"/>
      <c r="H38" s="56">
        <v>42369</v>
      </c>
      <c r="I38" s="24">
        <v>338</v>
      </c>
      <c r="J38" s="77"/>
    </row>
    <row r="39" spans="1:11" ht="36" x14ac:dyDescent="0.25">
      <c r="A39" s="115">
        <v>23</v>
      </c>
      <c r="B39" s="60" t="s">
        <v>192</v>
      </c>
      <c r="C39" s="10" t="str">
        <f>"777/2015"</f>
        <v>777/2015</v>
      </c>
      <c r="D39" s="56">
        <v>42340</v>
      </c>
      <c r="E39" s="59"/>
      <c r="F39" s="8">
        <v>278</v>
      </c>
      <c r="G39" s="91"/>
      <c r="H39" s="56">
        <v>42369</v>
      </c>
      <c r="I39" s="24">
        <v>278</v>
      </c>
      <c r="J39" s="77"/>
    </row>
    <row r="40" spans="1:11" ht="36" x14ac:dyDescent="0.25">
      <c r="A40" s="115">
        <v>24</v>
      </c>
      <c r="B40" s="60" t="s">
        <v>192</v>
      </c>
      <c r="C40" s="10" t="str">
        <f>"778/2015"</f>
        <v>778/2015</v>
      </c>
      <c r="D40" s="56">
        <v>42340</v>
      </c>
      <c r="E40" s="59"/>
      <c r="F40" s="8">
        <v>301</v>
      </c>
      <c r="G40" s="91"/>
      <c r="H40" s="56">
        <v>42369</v>
      </c>
      <c r="I40" s="24">
        <v>301</v>
      </c>
      <c r="J40" s="77"/>
      <c r="K40" s="48"/>
    </row>
    <row r="41" spans="1:11" ht="36" x14ac:dyDescent="0.25">
      <c r="A41" s="115">
        <v>25</v>
      </c>
      <c r="B41" s="60" t="s">
        <v>192</v>
      </c>
      <c r="C41" s="10" t="str">
        <f>"779/2015"</f>
        <v>779/2015</v>
      </c>
      <c r="D41" s="56">
        <v>42340</v>
      </c>
      <c r="E41" s="59"/>
      <c r="F41" s="8">
        <v>278</v>
      </c>
      <c r="G41" s="91"/>
      <c r="H41" s="56">
        <v>42369</v>
      </c>
      <c r="I41" s="24">
        <v>278</v>
      </c>
      <c r="J41" s="77"/>
    </row>
    <row r="42" spans="1:11" ht="36" x14ac:dyDescent="0.25">
      <c r="A42" s="115">
        <v>26</v>
      </c>
      <c r="B42" s="60" t="s">
        <v>192</v>
      </c>
      <c r="C42" s="10" t="str">
        <f>"780/2015"</f>
        <v>780/2015</v>
      </c>
      <c r="D42" s="56">
        <v>42340</v>
      </c>
      <c r="E42" s="59"/>
      <c r="F42" s="8">
        <v>301</v>
      </c>
      <c r="G42" s="91"/>
      <c r="H42" s="56">
        <v>42369</v>
      </c>
      <c r="I42" s="24">
        <v>301</v>
      </c>
      <c r="J42" s="77"/>
    </row>
    <row r="43" spans="1:11" ht="36" x14ac:dyDescent="0.25">
      <c r="A43" s="115">
        <v>27</v>
      </c>
      <c r="B43" s="60" t="s">
        <v>192</v>
      </c>
      <c r="C43" s="10" t="str">
        <f>"817/2015"</f>
        <v>817/2015</v>
      </c>
      <c r="D43" s="56">
        <v>42345</v>
      </c>
      <c r="E43" s="59"/>
      <c r="F43" s="8">
        <v>278</v>
      </c>
      <c r="G43" s="91"/>
      <c r="H43" s="56">
        <v>42369</v>
      </c>
      <c r="I43" s="24">
        <v>278</v>
      </c>
      <c r="J43" s="77"/>
      <c r="K43" s="48"/>
    </row>
    <row r="44" spans="1:11" ht="36" x14ac:dyDescent="0.25">
      <c r="A44" s="115">
        <v>28</v>
      </c>
      <c r="B44" s="60" t="s">
        <v>192</v>
      </c>
      <c r="C44" s="10" t="str">
        <f>"831/2015"</f>
        <v>831/2015</v>
      </c>
      <c r="D44" s="56">
        <v>42346</v>
      </c>
      <c r="E44" s="59"/>
      <c r="F44" s="8">
        <v>301</v>
      </c>
      <c r="G44" s="91"/>
      <c r="H44" s="56">
        <v>42369</v>
      </c>
      <c r="I44" s="24">
        <v>301</v>
      </c>
      <c r="J44" s="77"/>
    </row>
    <row r="45" spans="1:11" ht="36" x14ac:dyDescent="0.25">
      <c r="A45" s="115">
        <v>29</v>
      </c>
      <c r="B45" s="60" t="s">
        <v>192</v>
      </c>
      <c r="C45" s="10" t="str">
        <f>"832/2015"</f>
        <v>832/2015</v>
      </c>
      <c r="D45" s="56">
        <v>42346</v>
      </c>
      <c r="E45" s="59"/>
      <c r="F45" s="8">
        <v>370</v>
      </c>
      <c r="G45" s="8">
        <v>370</v>
      </c>
      <c r="H45" s="56">
        <v>42369</v>
      </c>
      <c r="I45" s="24">
        <v>0</v>
      </c>
      <c r="J45" s="77"/>
    </row>
    <row r="46" spans="1:11" ht="36" x14ac:dyDescent="0.25">
      <c r="A46" s="115">
        <v>30</v>
      </c>
      <c r="B46" s="60" t="s">
        <v>192</v>
      </c>
      <c r="C46" s="10" t="str">
        <f>"833/2015"</f>
        <v>833/2015</v>
      </c>
      <c r="D46" s="56">
        <v>42346</v>
      </c>
      <c r="E46" s="59"/>
      <c r="F46" s="8">
        <v>612</v>
      </c>
      <c r="G46" s="91"/>
      <c r="H46" s="56">
        <v>42369</v>
      </c>
      <c r="I46" s="24">
        <v>612</v>
      </c>
      <c r="J46" s="77"/>
      <c r="K46" s="48"/>
    </row>
    <row r="47" spans="1:11" ht="36" x14ac:dyDescent="0.25">
      <c r="A47" s="115">
        <v>31</v>
      </c>
      <c r="B47" s="60" t="s">
        <v>192</v>
      </c>
      <c r="C47" s="10" t="str">
        <f>"000849/2015"</f>
        <v>000849/2015</v>
      </c>
      <c r="D47" s="56">
        <v>42354</v>
      </c>
      <c r="E47" s="59"/>
      <c r="F47" s="8">
        <v>301</v>
      </c>
      <c r="G47" s="8">
        <v>301</v>
      </c>
      <c r="H47" s="56">
        <v>42369</v>
      </c>
      <c r="I47" s="24">
        <v>0</v>
      </c>
      <c r="J47" s="77"/>
    </row>
    <row r="48" spans="1:11" ht="36" x14ac:dyDescent="0.25">
      <c r="A48" s="115">
        <v>32</v>
      </c>
      <c r="B48" s="60" t="s">
        <v>192</v>
      </c>
      <c r="C48" s="10" t="str">
        <f>"894/2015"</f>
        <v>894/2015</v>
      </c>
      <c r="D48" s="56">
        <v>42361</v>
      </c>
      <c r="E48" s="59"/>
      <c r="F48" s="8">
        <v>463</v>
      </c>
      <c r="G48" s="8">
        <v>463</v>
      </c>
      <c r="H48" s="56">
        <v>42369</v>
      </c>
      <c r="I48" s="24">
        <v>0</v>
      </c>
      <c r="J48" s="77"/>
    </row>
    <row r="49" spans="1:11" ht="24" x14ac:dyDescent="0.25">
      <c r="A49" s="115">
        <v>33</v>
      </c>
      <c r="B49" s="60" t="s">
        <v>198</v>
      </c>
      <c r="C49" s="10" t="str">
        <f>" 406-05/15-01/67"</f>
        <v xml:space="preserve"> 406-05/15-01/67</v>
      </c>
      <c r="D49" s="56">
        <v>42247</v>
      </c>
      <c r="E49" s="56">
        <v>43039</v>
      </c>
      <c r="F49" s="8">
        <v>360000</v>
      </c>
      <c r="G49" s="8">
        <v>450000</v>
      </c>
      <c r="H49" s="56">
        <v>43100</v>
      </c>
      <c r="I49" s="24">
        <v>98404.36</v>
      </c>
      <c r="J49" s="77"/>
      <c r="K49" s="48"/>
    </row>
    <row r="50" spans="1:11" x14ac:dyDescent="0.25">
      <c r="A50" s="115">
        <v>34</v>
      </c>
      <c r="B50" s="60" t="s">
        <v>191</v>
      </c>
      <c r="C50" s="10" t="str">
        <f>"POLICA 4/2015"</f>
        <v>POLICA 4/2015</v>
      </c>
      <c r="D50" s="56">
        <v>42247</v>
      </c>
      <c r="E50" s="59"/>
      <c r="F50" s="8">
        <v>0</v>
      </c>
      <c r="G50" s="8">
        <v>0</v>
      </c>
      <c r="H50" s="56">
        <v>43017</v>
      </c>
      <c r="I50" s="24">
        <v>24414.080000000002</v>
      </c>
      <c r="J50" s="77"/>
    </row>
    <row r="51" spans="1:11" ht="24" x14ac:dyDescent="0.25">
      <c r="A51" s="115">
        <v>35</v>
      </c>
      <c r="B51" s="60" t="s">
        <v>196</v>
      </c>
      <c r="C51" s="10" t="str">
        <f>"MGPU 4/2015"</f>
        <v>MGPU 4/2015</v>
      </c>
      <c r="D51" s="56">
        <v>42320</v>
      </c>
      <c r="E51" s="59"/>
      <c r="F51" s="8">
        <v>1610.83</v>
      </c>
      <c r="G51" s="8">
        <v>2013.54</v>
      </c>
      <c r="H51" s="56">
        <v>42551</v>
      </c>
      <c r="I51" s="24">
        <v>34985.300000000003</v>
      </c>
      <c r="J51" s="77"/>
    </row>
    <row r="52" spans="1:11" ht="24" x14ac:dyDescent="0.25">
      <c r="A52" s="115">
        <v>36</v>
      </c>
      <c r="B52" s="60" t="s">
        <v>210</v>
      </c>
      <c r="C52" s="10" t="str">
        <f>"4/2015-MFINPU-1"</f>
        <v>4/2015-MFINPU-1</v>
      </c>
      <c r="D52" s="56">
        <v>42266</v>
      </c>
      <c r="E52" s="59"/>
      <c r="F52" s="8">
        <v>800.01</v>
      </c>
      <c r="G52" s="8">
        <v>800.01</v>
      </c>
      <c r="H52" s="56">
        <v>42369</v>
      </c>
      <c r="I52" s="24">
        <v>800.01</v>
      </c>
      <c r="J52" s="77"/>
      <c r="K52" s="48"/>
    </row>
    <row r="53" spans="1:11" ht="24" x14ac:dyDescent="0.25">
      <c r="A53" s="115">
        <v>37</v>
      </c>
      <c r="B53" s="60" t="s">
        <v>210</v>
      </c>
      <c r="C53" s="10" t="str">
        <f>"4/2015-MFINPU-2"</f>
        <v>4/2015-MFINPU-2</v>
      </c>
      <c r="D53" s="56">
        <v>42278</v>
      </c>
      <c r="E53" s="59"/>
      <c r="F53" s="8">
        <v>163.69</v>
      </c>
      <c r="G53" s="8">
        <v>163.69</v>
      </c>
      <c r="H53" s="56">
        <v>42369</v>
      </c>
      <c r="I53" s="24">
        <v>163.69</v>
      </c>
      <c r="J53" s="77"/>
    </row>
    <row r="54" spans="1:11" ht="24" x14ac:dyDescent="0.25">
      <c r="A54" s="115">
        <v>38</v>
      </c>
      <c r="B54" s="60" t="s">
        <v>210</v>
      </c>
      <c r="C54" s="10" t="str">
        <f>"4/2015-MFINPU-3"</f>
        <v>4/2015-MFINPU-3</v>
      </c>
      <c r="D54" s="56">
        <v>42282</v>
      </c>
      <c r="E54" s="59"/>
      <c r="F54" s="8">
        <v>147.87</v>
      </c>
      <c r="G54" s="8">
        <v>147.87</v>
      </c>
      <c r="H54" s="56">
        <v>42369</v>
      </c>
      <c r="I54" s="24">
        <v>147.87</v>
      </c>
      <c r="J54" s="77"/>
    </row>
    <row r="55" spans="1:11" ht="24" x14ac:dyDescent="0.25">
      <c r="A55" s="115">
        <v>39</v>
      </c>
      <c r="B55" s="60" t="s">
        <v>210</v>
      </c>
      <c r="C55" s="10" t="str">
        <f>"4/2015-MFINPU-4"</f>
        <v>4/2015-MFINPU-4</v>
      </c>
      <c r="D55" s="56">
        <v>42292</v>
      </c>
      <c r="E55" s="59"/>
      <c r="F55" s="8">
        <v>163.69</v>
      </c>
      <c r="G55" s="8">
        <v>163.69</v>
      </c>
      <c r="H55" s="56">
        <v>42369</v>
      </c>
      <c r="I55" s="24">
        <v>163.69</v>
      </c>
      <c r="J55" s="77"/>
      <c r="K55" s="48"/>
    </row>
    <row r="56" spans="1:11" ht="24" x14ac:dyDescent="0.25">
      <c r="A56" s="115">
        <v>40</v>
      </c>
      <c r="B56" s="60" t="s">
        <v>210</v>
      </c>
      <c r="C56" s="10" t="str">
        <f>"4/2015-MFINPU-5"</f>
        <v>4/2015-MFINPU-5</v>
      </c>
      <c r="D56" s="56">
        <v>42314</v>
      </c>
      <c r="E56" s="59"/>
      <c r="F56" s="8">
        <v>147.87</v>
      </c>
      <c r="G56" s="8">
        <v>147.87</v>
      </c>
      <c r="H56" s="56">
        <v>42369</v>
      </c>
      <c r="I56" s="24">
        <v>147.87</v>
      </c>
      <c r="J56" s="77"/>
    </row>
    <row r="57" spans="1:11" ht="24" x14ac:dyDescent="0.25">
      <c r="A57" s="115">
        <v>41</v>
      </c>
      <c r="B57" s="60" t="s">
        <v>210</v>
      </c>
      <c r="C57" s="10" t="str">
        <f>"4/2015-MFINPU-6"</f>
        <v>4/2015-MFINPU-6</v>
      </c>
      <c r="D57" s="56">
        <v>42316</v>
      </c>
      <c r="E57" s="59"/>
      <c r="F57" s="8">
        <v>245.39</v>
      </c>
      <c r="G57" s="8">
        <v>245.39</v>
      </c>
      <c r="H57" s="56">
        <v>42369</v>
      </c>
      <c r="I57" s="24">
        <v>245.39</v>
      </c>
      <c r="J57" s="77"/>
    </row>
    <row r="58" spans="1:11" ht="24" x14ac:dyDescent="0.25">
      <c r="A58" s="115">
        <v>42</v>
      </c>
      <c r="B58" s="60" t="s">
        <v>210</v>
      </c>
      <c r="C58" s="10" t="str">
        <f>"4/2015-MFINPU-7"</f>
        <v>4/2015-MFINPU-7</v>
      </c>
      <c r="D58" s="56">
        <v>42317</v>
      </c>
      <c r="E58" s="59"/>
      <c r="F58" s="8">
        <v>137.07</v>
      </c>
      <c r="G58" s="8">
        <v>137.07</v>
      </c>
      <c r="H58" s="56">
        <v>42369</v>
      </c>
      <c r="I58" s="24">
        <v>137.07</v>
      </c>
      <c r="J58" s="77"/>
      <c r="K58" s="48"/>
    </row>
    <row r="59" spans="1:11" ht="24" x14ac:dyDescent="0.25">
      <c r="A59" s="115">
        <v>43</v>
      </c>
      <c r="B59" s="60" t="s">
        <v>210</v>
      </c>
      <c r="C59" s="10" t="str">
        <f>"4/2015-MFINPU-8"</f>
        <v>4/2015-MFINPU-8</v>
      </c>
      <c r="D59" s="56">
        <v>42319</v>
      </c>
      <c r="E59" s="59"/>
      <c r="F59" s="8">
        <v>327.38</v>
      </c>
      <c r="G59" s="8">
        <v>327.38</v>
      </c>
      <c r="H59" s="56">
        <v>42369</v>
      </c>
      <c r="I59" s="24">
        <v>327.38</v>
      </c>
      <c r="J59" s="77"/>
    </row>
    <row r="60" spans="1:11" ht="24" x14ac:dyDescent="0.25">
      <c r="A60" s="115">
        <v>44</v>
      </c>
      <c r="B60" s="60" t="s">
        <v>210</v>
      </c>
      <c r="C60" s="10" t="str">
        <f>"4/2015-MFINPU-9"</f>
        <v>4/2015-MFINPU-9</v>
      </c>
      <c r="D60" s="56">
        <v>42323</v>
      </c>
      <c r="E60" s="59"/>
      <c r="F60" s="8">
        <v>201.6</v>
      </c>
      <c r="G60" s="8">
        <v>201.6</v>
      </c>
      <c r="H60" s="56">
        <v>42369</v>
      </c>
      <c r="I60" s="24">
        <v>201.6</v>
      </c>
      <c r="J60" s="77"/>
    </row>
    <row r="61" spans="1:11" ht="24" x14ac:dyDescent="0.25">
      <c r="A61" s="115">
        <v>45</v>
      </c>
      <c r="B61" s="60" t="s">
        <v>210</v>
      </c>
      <c r="C61" s="10" t="str">
        <f>"4/2015-MFINPU-10"</f>
        <v>4/2015-MFINPU-10</v>
      </c>
      <c r="D61" s="56">
        <v>42326</v>
      </c>
      <c r="E61" s="59"/>
      <c r="F61" s="8">
        <v>163.69</v>
      </c>
      <c r="G61" s="8">
        <v>163.69</v>
      </c>
      <c r="H61" s="56">
        <v>42369</v>
      </c>
      <c r="I61" s="24">
        <v>163.69</v>
      </c>
      <c r="J61" s="77"/>
      <c r="K61" s="48"/>
    </row>
    <row r="62" spans="1:11" ht="24" x14ac:dyDescent="0.25">
      <c r="A62" s="115">
        <v>46</v>
      </c>
      <c r="B62" s="60" t="s">
        <v>210</v>
      </c>
      <c r="C62" s="10" t="str">
        <f>"4/2015-MFINPU-11"</f>
        <v>4/2015-MFINPU-11</v>
      </c>
      <c r="D62" s="56">
        <v>42350</v>
      </c>
      <c r="E62" s="59"/>
      <c r="F62" s="8">
        <v>147.87</v>
      </c>
      <c r="G62" s="8">
        <v>147.87</v>
      </c>
      <c r="H62" s="56">
        <v>42369</v>
      </c>
      <c r="I62" s="24">
        <v>147.87</v>
      </c>
      <c r="J62" s="77"/>
    </row>
    <row r="63" spans="1:11" ht="24" x14ac:dyDescent="0.25">
      <c r="A63" s="115">
        <v>47</v>
      </c>
      <c r="B63" s="60" t="s">
        <v>210</v>
      </c>
      <c r="C63" s="10" t="str">
        <f>"4/2015-MFINPU-12"</f>
        <v>4/2015-MFINPU-12</v>
      </c>
      <c r="D63" s="56">
        <v>42355</v>
      </c>
      <c r="E63" s="59"/>
      <c r="F63" s="8">
        <v>201.6</v>
      </c>
      <c r="G63" s="8">
        <v>201.6</v>
      </c>
      <c r="H63" s="56">
        <v>42369</v>
      </c>
      <c r="I63" s="24">
        <v>201.6</v>
      </c>
      <c r="J63" s="77"/>
    </row>
    <row r="64" spans="1:11" ht="24" x14ac:dyDescent="0.25">
      <c r="A64" s="115">
        <v>48</v>
      </c>
      <c r="B64" s="60" t="s">
        <v>210</v>
      </c>
      <c r="C64" s="10" t="str">
        <f>"4/2015-MFINPU-13"</f>
        <v>4/2015-MFINPU-13</v>
      </c>
      <c r="D64" s="56">
        <v>42362</v>
      </c>
      <c r="E64" s="59"/>
      <c r="F64" s="8">
        <v>147.87</v>
      </c>
      <c r="G64" s="8">
        <v>147.87</v>
      </c>
      <c r="H64" s="56">
        <v>42369</v>
      </c>
      <c r="I64" s="24">
        <v>147.87</v>
      </c>
      <c r="J64" s="77"/>
      <c r="K64" s="48"/>
    </row>
    <row r="65" spans="1:11" x14ac:dyDescent="0.25">
      <c r="A65" s="115">
        <v>49</v>
      </c>
      <c r="B65" s="60" t="s">
        <v>186</v>
      </c>
      <c r="C65" s="10" t="str">
        <f>"016238263938"</f>
        <v>016238263938</v>
      </c>
      <c r="D65" s="56">
        <v>42295</v>
      </c>
      <c r="E65" s="59"/>
      <c r="F65" s="8">
        <v>243.31</v>
      </c>
      <c r="G65" s="8">
        <v>243.31</v>
      </c>
      <c r="H65" s="56">
        <v>42369</v>
      </c>
      <c r="I65" s="24">
        <v>243.31</v>
      </c>
      <c r="J65" s="77"/>
    </row>
    <row r="66" spans="1:11" x14ac:dyDescent="0.25">
      <c r="A66" s="115">
        <v>50</v>
      </c>
      <c r="B66" s="60" t="s">
        <v>186</v>
      </c>
      <c r="C66" s="10" t="str">
        <f>"016238263202"</f>
        <v>016238263202</v>
      </c>
      <c r="D66" s="56">
        <v>42295</v>
      </c>
      <c r="E66" s="59"/>
      <c r="F66" s="8">
        <v>324.58</v>
      </c>
      <c r="G66" s="8">
        <v>324.58</v>
      </c>
      <c r="H66" s="56">
        <v>42369</v>
      </c>
      <c r="I66" s="24">
        <v>324.58</v>
      </c>
      <c r="J66" s="77"/>
    </row>
    <row r="67" spans="1:11" x14ac:dyDescent="0.25">
      <c r="A67" s="115">
        <v>51</v>
      </c>
      <c r="B67" s="60" t="s">
        <v>186</v>
      </c>
      <c r="C67" s="10" t="str">
        <f>"016238263210"</f>
        <v>016238263210</v>
      </c>
      <c r="D67" s="56">
        <v>42295</v>
      </c>
      <c r="E67" s="59"/>
      <c r="F67" s="8">
        <v>322.58</v>
      </c>
      <c r="G67" s="8">
        <v>322.58</v>
      </c>
      <c r="H67" s="56">
        <v>42369</v>
      </c>
      <c r="I67" s="24">
        <v>322.58</v>
      </c>
      <c r="J67" s="77"/>
      <c r="K67" s="48"/>
    </row>
    <row r="68" spans="1:11" x14ac:dyDescent="0.25">
      <c r="A68" s="115">
        <v>52</v>
      </c>
      <c r="B68" s="60" t="s">
        <v>186</v>
      </c>
      <c r="C68" s="10" t="str">
        <f>"016238263954"</f>
        <v>016238263954</v>
      </c>
      <c r="D68" s="56">
        <v>42297</v>
      </c>
      <c r="E68" s="59"/>
      <c r="F68" s="8">
        <v>173.79</v>
      </c>
      <c r="G68" s="8">
        <v>173.79</v>
      </c>
      <c r="H68" s="56">
        <v>42369</v>
      </c>
      <c r="I68" s="24">
        <v>173.79</v>
      </c>
      <c r="J68" s="77"/>
    </row>
    <row r="69" spans="1:11" x14ac:dyDescent="0.25">
      <c r="A69" s="115">
        <v>53</v>
      </c>
      <c r="B69" s="60" t="s">
        <v>186</v>
      </c>
      <c r="C69" s="10" t="str">
        <f>"016238263946"</f>
        <v>016238263946</v>
      </c>
      <c r="D69" s="56">
        <v>42297</v>
      </c>
      <c r="E69" s="59"/>
      <c r="F69" s="8">
        <v>210.98</v>
      </c>
      <c r="G69" s="8">
        <v>210.98</v>
      </c>
      <c r="H69" s="56">
        <v>42369</v>
      </c>
      <c r="I69" s="24">
        <v>210.98</v>
      </c>
      <c r="J69" s="77"/>
    </row>
    <row r="70" spans="1:11" ht="36" x14ac:dyDescent="0.25">
      <c r="A70" s="115">
        <v>54</v>
      </c>
      <c r="B70" s="60" t="s">
        <v>189</v>
      </c>
      <c r="C70" s="10" t="str">
        <f>"000542/2015"</f>
        <v>000542/2015</v>
      </c>
      <c r="D70" s="56">
        <v>42341</v>
      </c>
      <c r="E70" s="59"/>
      <c r="F70" s="8">
        <v>4396.95</v>
      </c>
      <c r="G70" s="8">
        <v>4396.95</v>
      </c>
      <c r="H70" s="56">
        <v>42369</v>
      </c>
      <c r="I70" s="24">
        <v>4396.95</v>
      </c>
      <c r="J70" s="77"/>
      <c r="K70" s="48"/>
    </row>
    <row r="71" spans="1:11" x14ac:dyDescent="0.25">
      <c r="A71" s="115">
        <v>55</v>
      </c>
      <c r="B71" s="60" t="s">
        <v>212</v>
      </c>
      <c r="C71" s="10" t="str">
        <f>"1039/2015"</f>
        <v>1039/2015</v>
      </c>
      <c r="D71" s="56">
        <v>42297</v>
      </c>
      <c r="E71" s="59"/>
      <c r="F71" s="8">
        <v>370.43</v>
      </c>
      <c r="G71" s="8">
        <v>463.04</v>
      </c>
      <c r="H71" s="56">
        <v>42297</v>
      </c>
      <c r="I71" s="24">
        <v>370.43</v>
      </c>
      <c r="J71" s="77"/>
    </row>
    <row r="72" spans="1:11" ht="24" x14ac:dyDescent="0.25">
      <c r="A72" s="115">
        <v>56</v>
      </c>
      <c r="B72" s="60" t="s">
        <v>194</v>
      </c>
      <c r="C72" s="10" t="str">
        <f>"765/17"</f>
        <v>765/17</v>
      </c>
      <c r="D72" s="56">
        <v>43097</v>
      </c>
      <c r="E72" s="56">
        <v>43097</v>
      </c>
      <c r="F72" s="8">
        <v>4177.53</v>
      </c>
      <c r="G72" s="8">
        <v>5221.91</v>
      </c>
      <c r="H72" s="56">
        <v>43100</v>
      </c>
      <c r="I72" s="24">
        <v>4177.53</v>
      </c>
      <c r="J72" s="77"/>
    </row>
    <row r="73" spans="1:11" ht="24" x14ac:dyDescent="0.25">
      <c r="A73" s="115">
        <v>57</v>
      </c>
      <c r="B73" s="60" t="s">
        <v>194</v>
      </c>
      <c r="C73" s="10" t="str">
        <f>"708/17"</f>
        <v>708/17</v>
      </c>
      <c r="D73" s="56">
        <v>43074</v>
      </c>
      <c r="E73" s="56">
        <v>43074</v>
      </c>
      <c r="F73" s="8">
        <v>1801.57</v>
      </c>
      <c r="G73" s="8">
        <v>2251.96</v>
      </c>
      <c r="H73" s="56">
        <v>43100</v>
      </c>
      <c r="I73" s="24">
        <v>1801.57</v>
      </c>
      <c r="J73" s="77"/>
      <c r="K73" s="48"/>
    </row>
    <row r="74" spans="1:11" ht="24" x14ac:dyDescent="0.25">
      <c r="A74" s="115">
        <v>58</v>
      </c>
      <c r="B74" s="60" t="s">
        <v>195</v>
      </c>
      <c r="C74" s="10" t="str">
        <f>"4/2015-MUP-402"</f>
        <v>4/2015-MUP-402</v>
      </c>
      <c r="D74" s="56">
        <v>42705</v>
      </c>
      <c r="E74" s="56">
        <v>43070</v>
      </c>
      <c r="F74" s="8">
        <v>584.65</v>
      </c>
      <c r="G74" s="8">
        <v>584.65</v>
      </c>
      <c r="H74" s="56">
        <v>43070</v>
      </c>
      <c r="I74" s="24">
        <v>0</v>
      </c>
      <c r="J74" s="77"/>
    </row>
    <row r="75" spans="1:11" x14ac:dyDescent="0.25">
      <c r="A75" s="115">
        <v>59</v>
      </c>
      <c r="B75" s="60" t="s">
        <v>204</v>
      </c>
      <c r="C75" s="10" t="str">
        <f>"004700014245"</f>
        <v>004700014245</v>
      </c>
      <c r="D75" s="56">
        <v>43028</v>
      </c>
      <c r="E75" s="56">
        <v>43424</v>
      </c>
      <c r="F75" s="8">
        <v>3294.12</v>
      </c>
      <c r="G75" s="8">
        <v>3294.12</v>
      </c>
      <c r="H75" s="56">
        <v>43100</v>
      </c>
      <c r="I75" s="24">
        <v>3294.12</v>
      </c>
      <c r="J75" s="77"/>
    </row>
    <row r="76" spans="1:11" ht="24" x14ac:dyDescent="0.25">
      <c r="A76" s="115">
        <v>60</v>
      </c>
      <c r="B76" s="60" t="s">
        <v>194</v>
      </c>
      <c r="C76" s="10" t="str">
        <f>"677/17"</f>
        <v>677/17</v>
      </c>
      <c r="D76" s="56">
        <v>43052</v>
      </c>
      <c r="E76" s="56">
        <v>43052</v>
      </c>
      <c r="F76" s="8">
        <v>3322.53</v>
      </c>
      <c r="G76" s="8">
        <v>4153.16</v>
      </c>
      <c r="H76" s="56">
        <v>43100</v>
      </c>
      <c r="I76" s="24">
        <v>3322.53</v>
      </c>
      <c r="J76" s="77"/>
      <c r="K76" s="48"/>
    </row>
    <row r="77" spans="1:11" x14ac:dyDescent="0.25">
      <c r="A77" s="115">
        <v>61</v>
      </c>
      <c r="B77" s="60" t="s">
        <v>204</v>
      </c>
      <c r="C77" s="10" t="str">
        <f>"017000606460"</f>
        <v>017000606460</v>
      </c>
      <c r="D77" s="56">
        <v>43024</v>
      </c>
      <c r="E77" s="56">
        <v>43415</v>
      </c>
      <c r="F77" s="8">
        <v>340.27</v>
      </c>
      <c r="G77" s="8">
        <v>340.27</v>
      </c>
      <c r="H77" s="56">
        <v>43100</v>
      </c>
      <c r="I77" s="24">
        <v>340.27</v>
      </c>
      <c r="J77" s="77"/>
    </row>
    <row r="78" spans="1:11" ht="24" x14ac:dyDescent="0.25">
      <c r="A78" s="115">
        <v>62</v>
      </c>
      <c r="B78" s="60" t="s">
        <v>195</v>
      </c>
      <c r="C78" s="10" t="str">
        <f>"4/2015-MUP-444"</f>
        <v>4/2015-MUP-444</v>
      </c>
      <c r="D78" s="56">
        <v>43009</v>
      </c>
      <c r="E78" s="56">
        <v>43403</v>
      </c>
      <c r="F78" s="8">
        <v>32185.42</v>
      </c>
      <c r="G78" s="8">
        <v>32185.42</v>
      </c>
      <c r="H78" s="56">
        <v>43039</v>
      </c>
      <c r="I78" s="24">
        <v>32185.42</v>
      </c>
      <c r="J78" s="77"/>
    </row>
    <row r="79" spans="1:11" ht="24" x14ac:dyDescent="0.25">
      <c r="A79" s="115">
        <v>63</v>
      </c>
      <c r="B79" s="60" t="s">
        <v>193</v>
      </c>
      <c r="C79" s="10" t="str">
        <f>"O-17 (4/2015)"</f>
        <v>O-17 (4/2015)</v>
      </c>
      <c r="D79" s="56">
        <v>43009</v>
      </c>
      <c r="E79" s="56">
        <v>43100</v>
      </c>
      <c r="F79" s="8">
        <v>1088.7</v>
      </c>
      <c r="G79" s="8">
        <v>1252.01</v>
      </c>
      <c r="H79" s="56">
        <v>43100</v>
      </c>
      <c r="I79" s="24">
        <v>1088.7</v>
      </c>
      <c r="J79" s="77"/>
      <c r="K79" s="48"/>
    </row>
    <row r="80" spans="1:11" ht="24" x14ac:dyDescent="0.25">
      <c r="A80" s="115">
        <v>64</v>
      </c>
      <c r="B80" s="60" t="s">
        <v>197</v>
      </c>
      <c r="C80" s="10" t="str">
        <f>"N417/2017DT"</f>
        <v>N417/2017DT</v>
      </c>
      <c r="D80" s="56">
        <v>43007</v>
      </c>
      <c r="E80" s="56">
        <v>43024</v>
      </c>
      <c r="F80" s="8">
        <v>57.32</v>
      </c>
      <c r="G80" s="8">
        <v>57.32</v>
      </c>
      <c r="H80" s="56">
        <v>43024</v>
      </c>
      <c r="I80" s="24">
        <v>57.32</v>
      </c>
      <c r="J80" s="77"/>
    </row>
    <row r="81" spans="1:11" x14ac:dyDescent="0.25">
      <c r="A81" s="115">
        <v>65</v>
      </c>
      <c r="B81" s="60" t="s">
        <v>186</v>
      </c>
      <c r="C81" s="10" t="str">
        <f>"004700012870"</f>
        <v>004700012870</v>
      </c>
      <c r="D81" s="56">
        <v>43002</v>
      </c>
      <c r="E81" s="56">
        <v>43367</v>
      </c>
      <c r="F81" s="8">
        <v>1750.58</v>
      </c>
      <c r="G81" s="8">
        <v>1925.64</v>
      </c>
      <c r="H81" s="162"/>
      <c r="I81" s="167">
        <v>0</v>
      </c>
      <c r="J81" s="77"/>
    </row>
    <row r="82" spans="1:11" ht="24" x14ac:dyDescent="0.25">
      <c r="A82" s="115">
        <v>66</v>
      </c>
      <c r="B82" s="60" t="s">
        <v>186</v>
      </c>
      <c r="C82" s="10" t="str">
        <f>"004700012870 KASKO"</f>
        <v>004700012870 KASKO</v>
      </c>
      <c r="D82" s="56">
        <v>43002</v>
      </c>
      <c r="E82" s="56">
        <v>43367</v>
      </c>
      <c r="F82" s="8">
        <v>1750.58</v>
      </c>
      <c r="G82" s="8">
        <v>1925.64</v>
      </c>
      <c r="H82" s="56">
        <v>43008</v>
      </c>
      <c r="I82" s="24">
        <v>1750.58</v>
      </c>
      <c r="J82" s="77"/>
      <c r="K82" s="48"/>
    </row>
    <row r="83" spans="1:11" x14ac:dyDescent="0.25">
      <c r="A83" s="115">
        <v>67</v>
      </c>
      <c r="B83" s="60" t="s">
        <v>186</v>
      </c>
      <c r="C83" s="10" t="str">
        <f>"00470012869"</f>
        <v>00470012869</v>
      </c>
      <c r="D83" s="56">
        <v>43002</v>
      </c>
      <c r="E83" s="56">
        <v>43367</v>
      </c>
      <c r="F83" s="8">
        <v>1750.58</v>
      </c>
      <c r="G83" s="8">
        <v>1925.64</v>
      </c>
      <c r="H83" s="56">
        <v>43008</v>
      </c>
      <c r="I83" s="24">
        <v>1750.58</v>
      </c>
      <c r="J83" s="77"/>
    </row>
    <row r="84" spans="1:11" ht="24" x14ac:dyDescent="0.25">
      <c r="A84" s="115">
        <v>68</v>
      </c>
      <c r="B84" s="60" t="s">
        <v>186</v>
      </c>
      <c r="C84" s="10" t="str">
        <f>"004700012868 KASKO"</f>
        <v>004700012868 KASKO</v>
      </c>
      <c r="D84" s="56">
        <v>43002</v>
      </c>
      <c r="E84" s="56">
        <v>43367</v>
      </c>
      <c r="F84" s="8">
        <v>1750.58</v>
      </c>
      <c r="G84" s="8">
        <v>1925.64</v>
      </c>
      <c r="H84" s="56">
        <v>43008</v>
      </c>
      <c r="I84" s="24">
        <v>1750.58</v>
      </c>
      <c r="J84" s="77"/>
    </row>
    <row r="85" spans="1:11" x14ac:dyDescent="0.25">
      <c r="A85" s="115">
        <v>69</v>
      </c>
      <c r="B85" s="60" t="s">
        <v>186</v>
      </c>
      <c r="C85" s="10" t="str">
        <f>"004700012867"</f>
        <v>004700012867</v>
      </c>
      <c r="D85" s="56">
        <v>43002</v>
      </c>
      <c r="E85" s="56">
        <v>43367</v>
      </c>
      <c r="F85" s="8">
        <v>1750.58</v>
      </c>
      <c r="G85" s="8">
        <v>1925.64</v>
      </c>
      <c r="H85" s="56">
        <v>43008</v>
      </c>
      <c r="I85" s="24">
        <v>1750.58</v>
      </c>
      <c r="J85" s="77"/>
      <c r="K85" s="48"/>
    </row>
    <row r="86" spans="1:11" x14ac:dyDescent="0.25">
      <c r="A86" s="115">
        <v>70</v>
      </c>
      <c r="B86" s="60" t="s">
        <v>186</v>
      </c>
      <c r="C86" s="10" t="str">
        <f>"004700012864"</f>
        <v>004700012864</v>
      </c>
      <c r="D86" s="56">
        <v>43002</v>
      </c>
      <c r="E86" s="56">
        <v>43367</v>
      </c>
      <c r="F86" s="8">
        <v>1750.58</v>
      </c>
      <c r="G86" s="8">
        <v>1925.64</v>
      </c>
      <c r="H86" s="56">
        <v>43008</v>
      </c>
      <c r="I86" s="24">
        <v>1750.58</v>
      </c>
      <c r="J86" s="77"/>
    </row>
    <row r="87" spans="1:11" ht="24" x14ac:dyDescent="0.25">
      <c r="A87" s="115">
        <v>71</v>
      </c>
      <c r="B87" s="60" t="s">
        <v>194</v>
      </c>
      <c r="C87" s="10" t="str">
        <f>"526/17"</f>
        <v>526/17</v>
      </c>
      <c r="D87" s="56">
        <v>43000</v>
      </c>
      <c r="E87" s="56">
        <v>43000</v>
      </c>
      <c r="F87" s="8">
        <v>10752.54</v>
      </c>
      <c r="G87" s="8">
        <v>13440.68</v>
      </c>
      <c r="H87" s="56">
        <v>43008</v>
      </c>
      <c r="I87" s="24">
        <v>10752.54</v>
      </c>
      <c r="J87" s="77"/>
    </row>
    <row r="88" spans="1:11" x14ac:dyDescent="0.25">
      <c r="A88" s="115">
        <v>72</v>
      </c>
      <c r="B88" s="60" t="s">
        <v>186</v>
      </c>
      <c r="C88" s="10" t="str">
        <f>"017000577347"</f>
        <v>017000577347</v>
      </c>
      <c r="D88" s="56">
        <v>42993</v>
      </c>
      <c r="E88" s="56">
        <v>43358</v>
      </c>
      <c r="F88" s="8">
        <v>405.28</v>
      </c>
      <c r="G88" s="8">
        <v>466.07</v>
      </c>
      <c r="H88" s="56">
        <v>43008</v>
      </c>
      <c r="I88" s="24">
        <v>405.28</v>
      </c>
      <c r="J88" s="77"/>
      <c r="K88" s="48"/>
    </row>
    <row r="89" spans="1:11" x14ac:dyDescent="0.25">
      <c r="A89" s="115">
        <v>73</v>
      </c>
      <c r="B89" s="60" t="s">
        <v>186</v>
      </c>
      <c r="C89" s="10" t="str">
        <f>"017000577363"</f>
        <v>017000577363</v>
      </c>
      <c r="D89" s="56">
        <v>42993</v>
      </c>
      <c r="E89" s="56">
        <v>43358</v>
      </c>
      <c r="F89" s="8">
        <v>405.28</v>
      </c>
      <c r="G89" s="8">
        <v>466.07</v>
      </c>
      <c r="H89" s="56">
        <v>43008</v>
      </c>
      <c r="I89" s="24">
        <v>405.28</v>
      </c>
      <c r="J89" s="77"/>
    </row>
    <row r="90" spans="1:11" x14ac:dyDescent="0.25">
      <c r="A90" s="115">
        <v>74</v>
      </c>
      <c r="B90" s="60" t="s">
        <v>186</v>
      </c>
      <c r="C90" s="10" t="str">
        <f>"017000577371"</f>
        <v>017000577371</v>
      </c>
      <c r="D90" s="56">
        <v>42993</v>
      </c>
      <c r="E90" s="56">
        <v>43358</v>
      </c>
      <c r="F90" s="8">
        <v>405.28</v>
      </c>
      <c r="G90" s="8">
        <v>466.07</v>
      </c>
      <c r="H90" s="56">
        <v>43008</v>
      </c>
      <c r="I90" s="24">
        <v>406.28</v>
      </c>
      <c r="J90" s="77"/>
    </row>
    <row r="91" spans="1:11" x14ac:dyDescent="0.25">
      <c r="A91" s="115">
        <v>75</v>
      </c>
      <c r="B91" s="60" t="s">
        <v>186</v>
      </c>
      <c r="C91" s="10" t="str">
        <f>"017000577320"</f>
        <v>017000577320</v>
      </c>
      <c r="D91" s="56">
        <v>42993</v>
      </c>
      <c r="E91" s="56">
        <v>43358</v>
      </c>
      <c r="F91" s="8">
        <v>191.68</v>
      </c>
      <c r="G91" s="8">
        <v>220.43</v>
      </c>
      <c r="H91" s="56">
        <v>43008</v>
      </c>
      <c r="I91" s="24">
        <v>191.68</v>
      </c>
      <c r="J91" s="77"/>
      <c r="K91" s="48"/>
    </row>
    <row r="92" spans="1:11" x14ac:dyDescent="0.25">
      <c r="A92" s="115">
        <v>76</v>
      </c>
      <c r="B92" s="60" t="s">
        <v>186</v>
      </c>
      <c r="C92" s="10" t="str">
        <f>"017000577380"</f>
        <v>017000577380</v>
      </c>
      <c r="D92" s="56">
        <v>42993</v>
      </c>
      <c r="E92" s="56">
        <v>43358</v>
      </c>
      <c r="F92" s="8">
        <v>405.28</v>
      </c>
      <c r="G92" s="8">
        <v>466.07</v>
      </c>
      <c r="H92" s="56">
        <v>43008</v>
      </c>
      <c r="I92" s="24">
        <v>405.28</v>
      </c>
      <c r="J92" s="77"/>
    </row>
    <row r="93" spans="1:11" ht="24" x14ac:dyDescent="0.25">
      <c r="A93" s="115">
        <v>77</v>
      </c>
      <c r="B93" s="60" t="s">
        <v>200</v>
      </c>
      <c r="C93" s="10" t="str">
        <f>"4500013870"</f>
        <v>4500013870</v>
      </c>
      <c r="D93" s="56">
        <v>43038</v>
      </c>
      <c r="E93" s="56">
        <v>43358</v>
      </c>
      <c r="F93" s="8">
        <v>230.9</v>
      </c>
      <c r="G93" s="8">
        <v>265.54000000000002</v>
      </c>
      <c r="H93" s="162"/>
      <c r="I93" s="167">
        <v>0</v>
      </c>
      <c r="J93" s="77"/>
    </row>
    <row r="94" spans="1:11" x14ac:dyDescent="0.25">
      <c r="A94" s="115">
        <v>78</v>
      </c>
      <c r="B94" s="60" t="s">
        <v>186</v>
      </c>
      <c r="C94" s="10" t="str">
        <f>"017000577410"</f>
        <v>017000577410</v>
      </c>
      <c r="D94" s="56">
        <v>42993</v>
      </c>
      <c r="E94" s="56">
        <v>43358</v>
      </c>
      <c r="F94" s="8">
        <v>405.28</v>
      </c>
      <c r="G94" s="8">
        <v>466.07</v>
      </c>
      <c r="H94" s="56">
        <v>43008</v>
      </c>
      <c r="I94" s="24">
        <v>405.28</v>
      </c>
      <c r="J94" s="77"/>
      <c r="K94" s="48"/>
    </row>
    <row r="95" spans="1:11" x14ac:dyDescent="0.25">
      <c r="A95" s="115">
        <v>79</v>
      </c>
      <c r="B95" s="60" t="s">
        <v>186</v>
      </c>
      <c r="C95" s="10" t="str">
        <f>"017000577401"</f>
        <v>017000577401</v>
      </c>
      <c r="D95" s="56">
        <v>42993</v>
      </c>
      <c r="E95" s="56">
        <v>43358</v>
      </c>
      <c r="F95" s="8">
        <v>405.28</v>
      </c>
      <c r="G95" s="8">
        <v>466.07</v>
      </c>
      <c r="H95" s="56">
        <v>43008</v>
      </c>
      <c r="I95" s="24">
        <v>405.28</v>
      </c>
      <c r="J95" s="77"/>
    </row>
    <row r="96" spans="1:11" x14ac:dyDescent="0.25">
      <c r="A96" s="115">
        <v>80</v>
      </c>
      <c r="B96" s="60" t="s">
        <v>16</v>
      </c>
      <c r="C96" s="10" t="str">
        <f>"181/185/2017"</f>
        <v>181/185/2017</v>
      </c>
      <c r="D96" s="56">
        <v>42267</v>
      </c>
      <c r="E96" s="56">
        <v>43039</v>
      </c>
      <c r="F96" s="8">
        <v>1172.0899999999999</v>
      </c>
      <c r="G96" s="8">
        <v>1465.11</v>
      </c>
      <c r="H96" s="56">
        <v>43100</v>
      </c>
      <c r="I96" s="24">
        <v>1172.0899999999999</v>
      </c>
      <c r="J96" s="77"/>
    </row>
    <row r="97" spans="1:11" ht="24" x14ac:dyDescent="0.25">
      <c r="A97" s="115">
        <v>81</v>
      </c>
      <c r="B97" s="60" t="s">
        <v>195</v>
      </c>
      <c r="C97" s="10" t="str">
        <f>"4/2015-MUP-442"</f>
        <v>4/2015-MUP-442</v>
      </c>
      <c r="D97" s="56">
        <v>42979</v>
      </c>
      <c r="E97" s="56">
        <v>43344</v>
      </c>
      <c r="F97" s="8">
        <v>14528.46</v>
      </c>
      <c r="G97" s="8">
        <v>14528.46</v>
      </c>
      <c r="H97" s="56">
        <v>43008</v>
      </c>
      <c r="I97" s="24">
        <v>14528.46</v>
      </c>
      <c r="J97" s="77"/>
      <c r="K97" s="48"/>
    </row>
    <row r="98" spans="1:11" ht="24" x14ac:dyDescent="0.25">
      <c r="A98" s="115">
        <v>82</v>
      </c>
      <c r="B98" s="60" t="s">
        <v>195</v>
      </c>
      <c r="C98" s="10" t="str">
        <f>"4/2015-MUP-443"</f>
        <v>4/2015-MUP-443</v>
      </c>
      <c r="D98" s="56">
        <v>42979</v>
      </c>
      <c r="E98" s="56">
        <v>43373</v>
      </c>
      <c r="F98" s="8">
        <v>51286.39</v>
      </c>
      <c r="G98" s="8">
        <v>51286.39</v>
      </c>
      <c r="H98" s="56">
        <v>43008</v>
      </c>
      <c r="I98" s="24">
        <v>51286.39</v>
      </c>
      <c r="J98" s="77"/>
    </row>
    <row r="99" spans="1:11" ht="24" x14ac:dyDescent="0.25">
      <c r="A99" s="115">
        <v>83</v>
      </c>
      <c r="B99" s="60" t="s">
        <v>197</v>
      </c>
      <c r="C99" s="10" t="str">
        <f>"N372/2017DT"</f>
        <v>N372/2017DT</v>
      </c>
      <c r="D99" s="56">
        <v>42978</v>
      </c>
      <c r="E99" s="56">
        <v>42992</v>
      </c>
      <c r="F99" s="8">
        <v>31.72</v>
      </c>
      <c r="G99" s="8">
        <v>31.72</v>
      </c>
      <c r="H99" s="56">
        <v>42992</v>
      </c>
      <c r="I99" s="24">
        <v>31.72</v>
      </c>
      <c r="J99" s="77"/>
    </row>
    <row r="100" spans="1:11" ht="24" x14ac:dyDescent="0.25">
      <c r="A100" s="115">
        <v>84</v>
      </c>
      <c r="B100" s="60" t="s">
        <v>197</v>
      </c>
      <c r="C100" s="10" t="str">
        <f>"N368/2017DT"</f>
        <v>N368/2017DT</v>
      </c>
      <c r="D100" s="56">
        <v>42976</v>
      </c>
      <c r="E100" s="56">
        <v>42992</v>
      </c>
      <c r="F100" s="8">
        <v>781.04</v>
      </c>
      <c r="G100" s="8">
        <v>781.04</v>
      </c>
      <c r="H100" s="56">
        <v>42992</v>
      </c>
      <c r="I100" s="24">
        <v>781.04</v>
      </c>
      <c r="J100" s="77"/>
      <c r="K100" s="48"/>
    </row>
    <row r="101" spans="1:11" ht="36" x14ac:dyDescent="0.25">
      <c r="A101" s="115">
        <v>85</v>
      </c>
      <c r="B101" s="60" t="s">
        <v>189</v>
      </c>
      <c r="C101" s="10" t="str">
        <f>"502/2017"</f>
        <v>502/2017</v>
      </c>
      <c r="D101" s="56">
        <v>42951</v>
      </c>
      <c r="E101" s="56">
        <v>42982</v>
      </c>
      <c r="F101" s="8">
        <v>5510.79</v>
      </c>
      <c r="G101" s="8">
        <v>5510.79</v>
      </c>
      <c r="H101" s="56">
        <v>43008</v>
      </c>
      <c r="I101" s="24">
        <v>5510.79</v>
      </c>
      <c r="J101" s="77"/>
    </row>
    <row r="102" spans="1:11" ht="24" x14ac:dyDescent="0.25">
      <c r="A102" s="115">
        <v>86</v>
      </c>
      <c r="B102" s="60" t="s">
        <v>195</v>
      </c>
      <c r="C102" s="10" t="str">
        <f>"4/2015-MUP-441"</f>
        <v>4/2015-MUP-441</v>
      </c>
      <c r="D102" s="56">
        <v>42948</v>
      </c>
      <c r="E102" s="56">
        <v>43313</v>
      </c>
      <c r="F102" s="8">
        <v>62350.05</v>
      </c>
      <c r="G102" s="8">
        <v>62350.05</v>
      </c>
      <c r="H102" s="56">
        <v>43008</v>
      </c>
      <c r="I102" s="24">
        <v>62350.05</v>
      </c>
      <c r="J102" s="77"/>
    </row>
    <row r="103" spans="1:11" x14ac:dyDescent="0.25">
      <c r="A103" s="115">
        <v>87</v>
      </c>
      <c r="B103" s="60" t="s">
        <v>186</v>
      </c>
      <c r="C103" s="10" t="str">
        <f>"017000517611"</f>
        <v>017000517611</v>
      </c>
      <c r="D103" s="56">
        <v>42942</v>
      </c>
      <c r="E103" s="56">
        <v>43307</v>
      </c>
      <c r="F103" s="8">
        <v>226.53</v>
      </c>
      <c r="G103" s="8">
        <v>260.51</v>
      </c>
      <c r="H103" s="56">
        <v>43008</v>
      </c>
      <c r="I103" s="24">
        <v>226.53</v>
      </c>
      <c r="J103" s="77"/>
      <c r="K103" s="48"/>
    </row>
    <row r="104" spans="1:11" x14ac:dyDescent="0.25">
      <c r="A104" s="115">
        <v>88</v>
      </c>
      <c r="B104" s="60" t="s">
        <v>186</v>
      </c>
      <c r="C104" s="10" t="str">
        <f>"017000517638"</f>
        <v>017000517638</v>
      </c>
      <c r="D104" s="56">
        <v>42940</v>
      </c>
      <c r="E104" s="56">
        <v>43305</v>
      </c>
      <c r="F104" s="8">
        <v>157.47</v>
      </c>
      <c r="G104" s="8">
        <v>181.09</v>
      </c>
      <c r="H104" s="56">
        <v>43008</v>
      </c>
      <c r="I104" s="24">
        <v>157.47</v>
      </c>
      <c r="J104" s="77"/>
    </row>
    <row r="105" spans="1:11" x14ac:dyDescent="0.25">
      <c r="A105" s="115">
        <v>89</v>
      </c>
      <c r="B105" s="60" t="s">
        <v>186</v>
      </c>
      <c r="C105" s="10" t="str">
        <f>"017000517654"</f>
        <v>017000517654</v>
      </c>
      <c r="D105" s="56">
        <v>42935</v>
      </c>
      <c r="E105" s="56">
        <v>43300</v>
      </c>
      <c r="F105" s="8">
        <v>157.47</v>
      </c>
      <c r="G105" s="8">
        <v>181.09</v>
      </c>
      <c r="H105" s="56">
        <v>43008</v>
      </c>
      <c r="I105" s="24">
        <v>157.47</v>
      </c>
      <c r="J105" s="77"/>
    </row>
    <row r="106" spans="1:11" ht="24" x14ac:dyDescent="0.25">
      <c r="A106" s="115">
        <v>90</v>
      </c>
      <c r="B106" s="60" t="s">
        <v>197</v>
      </c>
      <c r="C106" s="10" t="str">
        <f>"N312/2017DT"</f>
        <v>N312/2017DT</v>
      </c>
      <c r="D106" s="56">
        <v>42934</v>
      </c>
      <c r="E106" s="56">
        <v>42969</v>
      </c>
      <c r="F106" s="8">
        <v>1858.92</v>
      </c>
      <c r="G106" s="8">
        <v>2323.65</v>
      </c>
      <c r="H106" s="56">
        <v>42969</v>
      </c>
      <c r="I106" s="24">
        <v>1858.92</v>
      </c>
      <c r="J106" s="77"/>
      <c r="K106" s="48"/>
    </row>
    <row r="107" spans="1:11" x14ac:dyDescent="0.25">
      <c r="A107" s="115">
        <v>91</v>
      </c>
      <c r="B107" s="60" t="s">
        <v>186</v>
      </c>
      <c r="C107" s="10" t="str">
        <f>"017000517603"</f>
        <v>017000517603</v>
      </c>
      <c r="D107" s="56">
        <v>42934</v>
      </c>
      <c r="E107" s="56">
        <v>43299</v>
      </c>
      <c r="F107" s="8">
        <v>142.81</v>
      </c>
      <c r="G107" s="8">
        <v>164.23</v>
      </c>
      <c r="H107" s="56">
        <v>43008</v>
      </c>
      <c r="I107" s="24">
        <v>142.18</v>
      </c>
      <c r="J107" s="77"/>
    </row>
    <row r="108" spans="1:11" x14ac:dyDescent="0.25">
      <c r="A108" s="115">
        <v>92</v>
      </c>
      <c r="B108" s="60" t="s">
        <v>186</v>
      </c>
      <c r="C108" s="10" t="str">
        <f>"017000523042"</f>
        <v>017000523042</v>
      </c>
      <c r="D108" s="56">
        <v>42934</v>
      </c>
      <c r="E108" s="56">
        <v>43299</v>
      </c>
      <c r="F108" s="8">
        <v>157.47</v>
      </c>
      <c r="G108" s="8">
        <v>181.09</v>
      </c>
      <c r="H108" s="56">
        <v>43008</v>
      </c>
      <c r="I108" s="24">
        <v>157.47</v>
      </c>
      <c r="J108" s="77"/>
    </row>
    <row r="109" spans="1:11" x14ac:dyDescent="0.25">
      <c r="A109" s="115">
        <v>93</v>
      </c>
      <c r="B109" s="60" t="s">
        <v>186</v>
      </c>
      <c r="C109" s="10" t="str">
        <f>"017000517646"</f>
        <v>017000517646</v>
      </c>
      <c r="D109" s="56">
        <v>42933</v>
      </c>
      <c r="E109" s="56">
        <v>43298</v>
      </c>
      <c r="F109" s="8">
        <v>204.71</v>
      </c>
      <c r="G109" s="8">
        <v>235.42</v>
      </c>
      <c r="H109" s="56">
        <v>43008</v>
      </c>
      <c r="I109" s="24">
        <v>204.71</v>
      </c>
      <c r="J109" s="77"/>
      <c r="K109" s="48"/>
    </row>
    <row r="110" spans="1:11" x14ac:dyDescent="0.25">
      <c r="A110" s="115">
        <v>94</v>
      </c>
      <c r="B110" s="60" t="s">
        <v>186</v>
      </c>
      <c r="C110" s="10" t="str">
        <f>"017000524910"</f>
        <v>017000524910</v>
      </c>
      <c r="D110" s="56">
        <v>42933</v>
      </c>
      <c r="E110" s="56">
        <v>43298</v>
      </c>
      <c r="F110" s="8">
        <v>130.27000000000001</v>
      </c>
      <c r="G110" s="8">
        <v>149.81</v>
      </c>
      <c r="H110" s="56">
        <v>43008</v>
      </c>
      <c r="I110" s="24">
        <v>130.27000000000001</v>
      </c>
      <c r="J110" s="77"/>
    </row>
    <row r="111" spans="1:11" x14ac:dyDescent="0.25">
      <c r="A111" s="115">
        <v>95</v>
      </c>
      <c r="B111" s="60" t="s">
        <v>186</v>
      </c>
      <c r="C111" s="10" t="str">
        <f>"017000517620"</f>
        <v>017000517620</v>
      </c>
      <c r="D111" s="56">
        <v>42929</v>
      </c>
      <c r="E111" s="56">
        <v>43294</v>
      </c>
      <c r="F111" s="8">
        <v>157.47</v>
      </c>
      <c r="G111" s="8">
        <v>181.09</v>
      </c>
      <c r="H111" s="56">
        <v>43008</v>
      </c>
      <c r="I111" s="24">
        <v>157.47</v>
      </c>
      <c r="J111" s="77"/>
    </row>
    <row r="112" spans="1:11" x14ac:dyDescent="0.25">
      <c r="A112" s="115">
        <v>96</v>
      </c>
      <c r="B112" s="60" t="s">
        <v>186</v>
      </c>
      <c r="C112" s="10" t="str">
        <f>"017000523069"</f>
        <v>017000523069</v>
      </c>
      <c r="D112" s="56">
        <v>42928</v>
      </c>
      <c r="E112" s="56">
        <v>43293</v>
      </c>
      <c r="F112" s="8">
        <v>353.77</v>
      </c>
      <c r="G112" s="8">
        <v>406.84</v>
      </c>
      <c r="H112" s="56">
        <v>43008</v>
      </c>
      <c r="I112" s="24">
        <v>353.77</v>
      </c>
      <c r="J112" s="77"/>
      <c r="K112" s="48"/>
    </row>
    <row r="113" spans="1:11" ht="24" x14ac:dyDescent="0.25">
      <c r="A113" s="115">
        <v>97</v>
      </c>
      <c r="B113" s="60" t="s">
        <v>195</v>
      </c>
      <c r="C113" s="10" t="str">
        <f>"4/2015-MUP-438"</f>
        <v>4/2015-MUP-438</v>
      </c>
      <c r="D113" s="56">
        <v>42917</v>
      </c>
      <c r="E113" s="56">
        <v>43282</v>
      </c>
      <c r="F113" s="8">
        <v>322.58</v>
      </c>
      <c r="G113" s="8">
        <v>322.58</v>
      </c>
      <c r="H113" s="162"/>
      <c r="I113" s="167">
        <v>0</v>
      </c>
      <c r="J113" s="77"/>
    </row>
    <row r="114" spans="1:11" ht="24" x14ac:dyDescent="0.25">
      <c r="A114" s="115">
        <v>98</v>
      </c>
      <c r="B114" s="60" t="s">
        <v>193</v>
      </c>
      <c r="C114" s="10" t="str">
        <f>"OS 4/2015 - 6"</f>
        <v>OS 4/2015 - 6</v>
      </c>
      <c r="D114" s="56">
        <v>42917</v>
      </c>
      <c r="E114" s="56">
        <v>43008</v>
      </c>
      <c r="F114" s="8">
        <v>9729.67</v>
      </c>
      <c r="G114" s="8">
        <v>11189.12</v>
      </c>
      <c r="H114" s="56">
        <v>43008</v>
      </c>
      <c r="I114" s="24">
        <v>9729.67</v>
      </c>
      <c r="J114" s="77"/>
    </row>
    <row r="115" spans="1:11" ht="24" x14ac:dyDescent="0.25">
      <c r="A115" s="115">
        <v>99</v>
      </c>
      <c r="B115" s="60" t="s">
        <v>200</v>
      </c>
      <c r="C115" s="10" t="str">
        <f>"4500013661"</f>
        <v>4500013661</v>
      </c>
      <c r="D115" s="56">
        <v>42916</v>
      </c>
      <c r="E115" s="56">
        <v>43280</v>
      </c>
      <c r="F115" s="8">
        <v>9489.9599999999991</v>
      </c>
      <c r="G115" s="8">
        <v>10438.959999999999</v>
      </c>
      <c r="H115" s="162"/>
      <c r="I115" s="167">
        <v>0</v>
      </c>
      <c r="J115" s="77"/>
      <c r="K115" s="48"/>
    </row>
    <row r="116" spans="1:11" ht="24" x14ac:dyDescent="0.25">
      <c r="A116" s="115">
        <v>100</v>
      </c>
      <c r="B116" s="60" t="s">
        <v>200</v>
      </c>
      <c r="C116" s="10" t="str">
        <f>"4500013652"</f>
        <v>4500013652</v>
      </c>
      <c r="D116" s="56">
        <v>42915</v>
      </c>
      <c r="E116" s="56">
        <v>43280</v>
      </c>
      <c r="F116" s="8">
        <v>2274.12</v>
      </c>
      <c r="G116" s="8">
        <v>2615.2399999999998</v>
      </c>
      <c r="H116" s="162"/>
      <c r="I116" s="167">
        <v>0</v>
      </c>
      <c r="J116" s="77"/>
    </row>
    <row r="117" spans="1:11" ht="36" x14ac:dyDescent="0.25">
      <c r="A117" s="115">
        <v>101</v>
      </c>
      <c r="B117" s="60" t="s">
        <v>97</v>
      </c>
      <c r="C117" s="10" t="str">
        <f>"519-02-3-1/6-17-39"</f>
        <v>519-02-3-1/6-17-39</v>
      </c>
      <c r="D117" s="56">
        <v>42913</v>
      </c>
      <c r="E117" s="56">
        <v>42947</v>
      </c>
      <c r="F117" s="8">
        <v>9600</v>
      </c>
      <c r="G117" s="8">
        <v>12000</v>
      </c>
      <c r="H117" s="162"/>
      <c r="I117" s="167">
        <v>0</v>
      </c>
      <c r="J117" s="77"/>
    </row>
    <row r="118" spans="1:11" x14ac:dyDescent="0.25">
      <c r="A118" s="115">
        <v>102</v>
      </c>
      <c r="B118" s="60" t="s">
        <v>204</v>
      </c>
      <c r="C118" s="10" t="str">
        <f>"004700007485"</f>
        <v>004700007485</v>
      </c>
      <c r="D118" s="56">
        <v>42863</v>
      </c>
      <c r="E118" s="56">
        <v>43266</v>
      </c>
      <c r="F118" s="8">
        <v>1758.09</v>
      </c>
      <c r="G118" s="8">
        <v>1758.09</v>
      </c>
      <c r="H118" s="56">
        <v>43100</v>
      </c>
      <c r="I118" s="24">
        <v>1758.09</v>
      </c>
      <c r="J118" s="77"/>
      <c r="K118" s="48"/>
    </row>
    <row r="119" spans="1:11" ht="24" x14ac:dyDescent="0.25">
      <c r="A119" s="115">
        <v>103</v>
      </c>
      <c r="B119" s="60" t="s">
        <v>197</v>
      </c>
      <c r="C119" s="10" t="str">
        <f>"N268/2017DT"</f>
        <v>N268/2017DT</v>
      </c>
      <c r="D119" s="56">
        <v>42894</v>
      </c>
      <c r="E119" s="56">
        <v>42926</v>
      </c>
      <c r="F119" s="8">
        <v>1779</v>
      </c>
      <c r="G119" s="8">
        <v>1779</v>
      </c>
      <c r="H119" s="56">
        <v>42926</v>
      </c>
      <c r="I119" s="24">
        <v>1779</v>
      </c>
      <c r="J119" s="77"/>
    </row>
    <row r="120" spans="1:11" ht="24" x14ac:dyDescent="0.25">
      <c r="A120" s="115">
        <v>104</v>
      </c>
      <c r="B120" s="60" t="s">
        <v>195</v>
      </c>
      <c r="C120" s="10" t="str">
        <f>"4/2015-MUP-439"</f>
        <v>4/2015-MUP-439</v>
      </c>
      <c r="D120" s="56">
        <v>42887</v>
      </c>
      <c r="E120" s="56">
        <v>43252</v>
      </c>
      <c r="F120" s="8">
        <v>160348</v>
      </c>
      <c r="G120" s="8">
        <v>160348</v>
      </c>
      <c r="H120" s="56">
        <v>43008</v>
      </c>
      <c r="I120" s="24">
        <v>160348</v>
      </c>
      <c r="J120" s="77"/>
    </row>
    <row r="121" spans="1:11" ht="24" x14ac:dyDescent="0.25">
      <c r="A121" s="115">
        <v>105</v>
      </c>
      <c r="B121" s="60" t="s">
        <v>195</v>
      </c>
      <c r="C121" s="10" t="str">
        <f>"4/2015-MUP-437"</f>
        <v>4/2015-MUP-437</v>
      </c>
      <c r="D121" s="56">
        <v>42887</v>
      </c>
      <c r="E121" s="56">
        <v>43281</v>
      </c>
      <c r="F121" s="8">
        <v>17234.37</v>
      </c>
      <c r="G121" s="8">
        <v>17234.37</v>
      </c>
      <c r="H121" s="162"/>
      <c r="I121" s="167">
        <v>0</v>
      </c>
      <c r="J121" s="77"/>
      <c r="K121" s="48"/>
    </row>
    <row r="122" spans="1:11" ht="36" x14ac:dyDescent="0.25">
      <c r="A122" s="115">
        <v>106</v>
      </c>
      <c r="B122" s="60" t="s">
        <v>188</v>
      </c>
      <c r="C122" s="10" t="str">
        <f>"BR 017000463198"</f>
        <v>BR 017000463198</v>
      </c>
      <c r="D122" s="56">
        <v>42879</v>
      </c>
      <c r="E122" s="56">
        <v>43251</v>
      </c>
      <c r="F122" s="8">
        <v>645.16</v>
      </c>
      <c r="G122" s="8">
        <v>645.16</v>
      </c>
      <c r="H122" s="56">
        <v>43100</v>
      </c>
      <c r="I122" s="24">
        <v>645.16</v>
      </c>
      <c r="J122" s="77"/>
    </row>
    <row r="123" spans="1:11" ht="36" x14ac:dyDescent="0.25">
      <c r="A123" s="115">
        <v>107</v>
      </c>
      <c r="B123" s="60" t="s">
        <v>188</v>
      </c>
      <c r="C123" s="10" t="str">
        <f>"BROJ:004700008575"</f>
        <v>BROJ:004700008575</v>
      </c>
      <c r="D123" s="56">
        <v>42886</v>
      </c>
      <c r="E123" s="56">
        <v>43251</v>
      </c>
      <c r="F123" s="8">
        <v>4514.8</v>
      </c>
      <c r="G123" s="8">
        <v>4514.8</v>
      </c>
      <c r="H123" s="56">
        <v>43100</v>
      </c>
      <c r="I123" s="24">
        <v>4514.8</v>
      </c>
      <c r="J123" s="77"/>
    </row>
    <row r="124" spans="1:11" ht="36" x14ac:dyDescent="0.25">
      <c r="A124" s="115">
        <v>108</v>
      </c>
      <c r="B124" s="60" t="s">
        <v>188</v>
      </c>
      <c r="C124" s="10" t="str">
        <f>"BROJ: 017000463180"</f>
        <v>BROJ: 017000463180</v>
      </c>
      <c r="D124" s="56">
        <v>42879</v>
      </c>
      <c r="E124" s="56">
        <v>43250</v>
      </c>
      <c r="F124" s="8">
        <v>466.07</v>
      </c>
      <c r="G124" s="8">
        <v>466.07</v>
      </c>
      <c r="H124" s="56">
        <v>43100</v>
      </c>
      <c r="I124" s="24">
        <v>466.07</v>
      </c>
      <c r="J124" s="77"/>
      <c r="K124" s="48"/>
    </row>
    <row r="125" spans="1:11" ht="36" x14ac:dyDescent="0.25">
      <c r="A125" s="115">
        <v>109</v>
      </c>
      <c r="B125" s="60" t="s">
        <v>188</v>
      </c>
      <c r="C125" s="10" t="str">
        <f>"BROJ: 004700000372"</f>
        <v>BROJ: 004700000372</v>
      </c>
      <c r="D125" s="56">
        <v>42885</v>
      </c>
      <c r="E125" s="56">
        <v>43250</v>
      </c>
      <c r="F125" s="8">
        <v>2043.24</v>
      </c>
      <c r="G125" s="8">
        <v>2043.24</v>
      </c>
      <c r="H125" s="56">
        <v>43100</v>
      </c>
      <c r="I125" s="24">
        <v>2043.24</v>
      </c>
      <c r="J125" s="77"/>
    </row>
    <row r="126" spans="1:11" x14ac:dyDescent="0.25">
      <c r="A126" s="115">
        <v>110</v>
      </c>
      <c r="B126" s="60" t="s">
        <v>186</v>
      </c>
      <c r="C126" s="10" t="str">
        <f>"017000458631"</f>
        <v>017000458631</v>
      </c>
      <c r="D126" s="56">
        <v>42881</v>
      </c>
      <c r="E126" s="56">
        <v>43246</v>
      </c>
      <c r="F126" s="8">
        <v>142.81</v>
      </c>
      <c r="G126" s="8">
        <v>164.23</v>
      </c>
      <c r="H126" s="56">
        <v>43008</v>
      </c>
      <c r="I126" s="24">
        <v>142.81</v>
      </c>
      <c r="J126" s="77"/>
    </row>
    <row r="127" spans="1:11" x14ac:dyDescent="0.25">
      <c r="A127" s="115">
        <v>111</v>
      </c>
      <c r="B127" s="60" t="s">
        <v>204</v>
      </c>
      <c r="C127" s="10" t="str">
        <f>"017000438886"</f>
        <v>017000438886</v>
      </c>
      <c r="D127" s="56">
        <v>42858</v>
      </c>
      <c r="E127" s="56">
        <v>43241</v>
      </c>
      <c r="F127" s="8">
        <v>239.32</v>
      </c>
      <c r="G127" s="8">
        <v>239.32</v>
      </c>
      <c r="H127" s="56">
        <v>43100</v>
      </c>
      <c r="I127" s="24">
        <v>239.32</v>
      </c>
      <c r="J127" s="77"/>
      <c r="K127" s="48"/>
    </row>
    <row r="128" spans="1:11" ht="24" x14ac:dyDescent="0.25">
      <c r="A128" s="115">
        <v>112</v>
      </c>
      <c r="B128" s="60" t="s">
        <v>186</v>
      </c>
      <c r="C128" s="10" t="str">
        <f>"004700008272 KASKO"</f>
        <v>004700008272 KASKO</v>
      </c>
      <c r="D128" s="56">
        <v>42872</v>
      </c>
      <c r="E128" s="56">
        <v>43237</v>
      </c>
      <c r="F128" s="8">
        <v>3043.84</v>
      </c>
      <c r="G128" s="8">
        <v>3348.22</v>
      </c>
      <c r="H128" s="56">
        <v>43008</v>
      </c>
      <c r="I128" s="24">
        <v>3043.84</v>
      </c>
      <c r="J128" s="77"/>
    </row>
    <row r="129" spans="1:11" ht="24" x14ac:dyDescent="0.25">
      <c r="A129" s="115">
        <v>113</v>
      </c>
      <c r="B129" s="60" t="s">
        <v>186</v>
      </c>
      <c r="C129" s="10" t="str">
        <f>"004700008273 KASKO"</f>
        <v>004700008273 KASKO</v>
      </c>
      <c r="D129" s="56">
        <v>42872</v>
      </c>
      <c r="E129" s="56">
        <v>43237</v>
      </c>
      <c r="F129" s="8">
        <v>3043.84</v>
      </c>
      <c r="G129" s="8">
        <v>3348.22</v>
      </c>
      <c r="H129" s="56">
        <v>43008</v>
      </c>
      <c r="I129" s="24">
        <v>3043.84</v>
      </c>
      <c r="J129" s="77"/>
    </row>
    <row r="130" spans="1:11" ht="24" x14ac:dyDescent="0.25">
      <c r="A130" s="115">
        <v>114</v>
      </c>
      <c r="B130" s="60" t="s">
        <v>186</v>
      </c>
      <c r="C130" s="10" t="str">
        <f>"004700008276 KASKO"</f>
        <v>004700008276 KASKO</v>
      </c>
      <c r="D130" s="56">
        <v>42872</v>
      </c>
      <c r="E130" s="56">
        <v>43237</v>
      </c>
      <c r="F130" s="8">
        <v>3043.84</v>
      </c>
      <c r="G130" s="8">
        <v>3348.22</v>
      </c>
      <c r="H130" s="56">
        <v>43008</v>
      </c>
      <c r="I130" s="24">
        <v>3043.84</v>
      </c>
      <c r="J130" s="77"/>
      <c r="K130" s="48"/>
    </row>
    <row r="131" spans="1:11" ht="24" x14ac:dyDescent="0.25">
      <c r="A131" s="115">
        <v>115</v>
      </c>
      <c r="B131" s="60" t="s">
        <v>186</v>
      </c>
      <c r="C131" s="10" t="str">
        <f>"004700008275 KASKO"</f>
        <v>004700008275 KASKO</v>
      </c>
      <c r="D131" s="56">
        <v>42872</v>
      </c>
      <c r="E131" s="56">
        <v>43237</v>
      </c>
      <c r="F131" s="8">
        <v>3043.84</v>
      </c>
      <c r="G131" s="8">
        <v>3348.22</v>
      </c>
      <c r="H131" s="56">
        <v>43008</v>
      </c>
      <c r="I131" s="24">
        <v>3043.84</v>
      </c>
      <c r="J131" s="77"/>
    </row>
    <row r="132" spans="1:11" ht="24" x14ac:dyDescent="0.25">
      <c r="A132" s="115">
        <v>116</v>
      </c>
      <c r="B132" s="60" t="s">
        <v>186</v>
      </c>
      <c r="C132" s="10" t="str">
        <f>"004700008274 KASKO"</f>
        <v>004700008274 KASKO</v>
      </c>
      <c r="D132" s="56">
        <v>42872</v>
      </c>
      <c r="E132" s="56">
        <v>43237</v>
      </c>
      <c r="F132" s="8">
        <v>3043.84</v>
      </c>
      <c r="G132" s="8">
        <v>3348.22</v>
      </c>
      <c r="H132" s="56">
        <v>43008</v>
      </c>
      <c r="I132" s="24">
        <v>3043.38</v>
      </c>
      <c r="J132" s="77"/>
    </row>
    <row r="133" spans="1:11" ht="24" x14ac:dyDescent="0.25">
      <c r="A133" s="115">
        <v>117</v>
      </c>
      <c r="B133" s="60" t="s">
        <v>186</v>
      </c>
      <c r="C133" s="10" t="str">
        <f>"004700008277 KASKO"</f>
        <v>004700008277 KASKO</v>
      </c>
      <c r="D133" s="56">
        <v>42872</v>
      </c>
      <c r="E133" s="56">
        <v>43237</v>
      </c>
      <c r="F133" s="8">
        <v>3043.84</v>
      </c>
      <c r="G133" s="8">
        <v>3348.22</v>
      </c>
      <c r="H133" s="56">
        <v>43008</v>
      </c>
      <c r="I133" s="24">
        <v>3043.84</v>
      </c>
      <c r="J133" s="77"/>
      <c r="K133" s="48"/>
    </row>
    <row r="134" spans="1:11" ht="24" x14ac:dyDescent="0.25">
      <c r="A134" s="115">
        <v>118</v>
      </c>
      <c r="B134" s="60" t="s">
        <v>197</v>
      </c>
      <c r="C134" s="10" t="str">
        <f>"N218/2017DT"</f>
        <v>N218/2017DT</v>
      </c>
      <c r="D134" s="56">
        <v>42863</v>
      </c>
      <c r="E134" s="56">
        <v>42916</v>
      </c>
      <c r="F134" s="8">
        <v>416.52</v>
      </c>
      <c r="G134" s="8">
        <v>416.52</v>
      </c>
      <c r="H134" s="56">
        <v>42916</v>
      </c>
      <c r="I134" s="24">
        <v>416.52</v>
      </c>
      <c r="J134" s="77"/>
    </row>
    <row r="135" spans="1:11" ht="24" x14ac:dyDescent="0.25">
      <c r="A135" s="115">
        <v>119</v>
      </c>
      <c r="B135" s="60" t="s">
        <v>195</v>
      </c>
      <c r="C135" s="10" t="str">
        <f>"4/2015-MUP-436"</f>
        <v>4/2015-MUP-436</v>
      </c>
      <c r="D135" s="56">
        <v>42856</v>
      </c>
      <c r="E135" s="56">
        <v>43250</v>
      </c>
      <c r="F135" s="8">
        <v>128706.01</v>
      </c>
      <c r="G135" s="8">
        <v>128706.01</v>
      </c>
      <c r="H135" s="162"/>
      <c r="I135" s="167">
        <v>0</v>
      </c>
      <c r="J135" s="77"/>
    </row>
    <row r="136" spans="1:11" ht="24" x14ac:dyDescent="0.25">
      <c r="A136" s="115">
        <v>120</v>
      </c>
      <c r="B136" s="60" t="s">
        <v>200</v>
      </c>
      <c r="C136" s="10" t="str">
        <f>"4500013276"</f>
        <v>4500013276</v>
      </c>
      <c r="D136" s="56">
        <v>42828</v>
      </c>
      <c r="E136" s="56">
        <v>43214</v>
      </c>
      <c r="F136" s="8">
        <v>7804.54</v>
      </c>
      <c r="G136" s="8">
        <v>8584.99</v>
      </c>
      <c r="H136" s="162"/>
      <c r="I136" s="167">
        <v>0</v>
      </c>
      <c r="J136" s="77"/>
      <c r="K136" s="48"/>
    </row>
    <row r="137" spans="1:11" ht="36" x14ac:dyDescent="0.25">
      <c r="A137" s="115">
        <v>121</v>
      </c>
      <c r="B137" s="60" t="s">
        <v>97</v>
      </c>
      <c r="C137" s="10" t="str">
        <f>"519-02-3-1/6-17-32"</f>
        <v>519-02-3-1/6-17-32</v>
      </c>
      <c r="D137" s="56">
        <v>42845</v>
      </c>
      <c r="E137" s="56">
        <v>42886</v>
      </c>
      <c r="F137" s="8">
        <v>10259.94</v>
      </c>
      <c r="G137" s="8">
        <v>12824.93</v>
      </c>
      <c r="H137" s="56">
        <v>42886</v>
      </c>
      <c r="I137" s="24">
        <v>10748.88</v>
      </c>
      <c r="J137" s="77"/>
    </row>
    <row r="138" spans="1:11" ht="36" x14ac:dyDescent="0.25">
      <c r="A138" s="115">
        <v>122</v>
      </c>
      <c r="B138" s="60" t="s">
        <v>97</v>
      </c>
      <c r="C138" s="10" t="str">
        <f>"519-02-3-1/6-17-30"</f>
        <v>519-02-3-1/6-17-30</v>
      </c>
      <c r="D138" s="56">
        <v>42844</v>
      </c>
      <c r="E138" s="56">
        <v>42886</v>
      </c>
      <c r="F138" s="8">
        <v>685.63</v>
      </c>
      <c r="G138" s="8">
        <v>857.04</v>
      </c>
      <c r="H138" s="56">
        <v>42886</v>
      </c>
      <c r="I138" s="24">
        <v>353.87</v>
      </c>
      <c r="J138" s="77"/>
    </row>
    <row r="139" spans="1:11" ht="24" x14ac:dyDescent="0.25">
      <c r="A139" s="115">
        <v>123</v>
      </c>
      <c r="B139" s="60" t="s">
        <v>17</v>
      </c>
      <c r="C139" s="10" t="str">
        <f>"POL 004700006760"</f>
        <v>POL 004700006760</v>
      </c>
      <c r="D139" s="56">
        <v>42843</v>
      </c>
      <c r="E139" s="56">
        <v>43208</v>
      </c>
      <c r="F139" s="8">
        <v>2338.9</v>
      </c>
      <c r="G139" s="8">
        <v>2572.79</v>
      </c>
      <c r="H139" s="56">
        <v>43100</v>
      </c>
      <c r="I139" s="24">
        <v>0</v>
      </c>
      <c r="J139" s="77"/>
      <c r="K139" s="48"/>
    </row>
    <row r="140" spans="1:11" ht="24" x14ac:dyDescent="0.25">
      <c r="A140" s="115">
        <v>124</v>
      </c>
      <c r="B140" s="60" t="s">
        <v>17</v>
      </c>
      <c r="C140" s="10" t="str">
        <f>"POL 004700006763"</f>
        <v>POL 004700006763</v>
      </c>
      <c r="D140" s="56">
        <v>42934</v>
      </c>
      <c r="E140" s="56">
        <v>43208</v>
      </c>
      <c r="F140" s="8">
        <v>2338.9</v>
      </c>
      <c r="G140" s="8">
        <v>2372.79</v>
      </c>
      <c r="H140" s="56">
        <v>43100</v>
      </c>
      <c r="I140" s="24">
        <v>0</v>
      </c>
      <c r="J140" s="77"/>
    </row>
    <row r="141" spans="1:11" ht="24" x14ac:dyDescent="0.25">
      <c r="A141" s="115">
        <v>125</v>
      </c>
      <c r="B141" s="60" t="s">
        <v>17</v>
      </c>
      <c r="C141" s="10" t="str">
        <f>"POL 004700006759"</f>
        <v>POL 004700006759</v>
      </c>
      <c r="D141" s="56">
        <v>42843</v>
      </c>
      <c r="E141" s="56">
        <v>43208</v>
      </c>
      <c r="F141" s="8">
        <v>2338.9</v>
      </c>
      <c r="G141" s="8">
        <v>2572.79</v>
      </c>
      <c r="H141" s="56">
        <v>43100</v>
      </c>
      <c r="I141" s="24">
        <v>0</v>
      </c>
      <c r="J141" s="77"/>
    </row>
    <row r="142" spans="1:11" ht="24" x14ac:dyDescent="0.25">
      <c r="A142" s="115">
        <v>126</v>
      </c>
      <c r="B142" s="60" t="s">
        <v>17</v>
      </c>
      <c r="C142" s="10" t="str">
        <f>"POL 004700006755"</f>
        <v>POL 004700006755</v>
      </c>
      <c r="D142" s="56">
        <v>42843</v>
      </c>
      <c r="E142" s="56">
        <v>43208</v>
      </c>
      <c r="F142" s="8">
        <v>2338.9</v>
      </c>
      <c r="G142" s="8">
        <v>2572.79</v>
      </c>
      <c r="H142" s="56">
        <v>43100</v>
      </c>
      <c r="I142" s="24">
        <v>0</v>
      </c>
      <c r="J142" s="77"/>
      <c r="K142" s="48"/>
    </row>
    <row r="143" spans="1:11" ht="24" x14ac:dyDescent="0.25">
      <c r="A143" s="115">
        <v>127</v>
      </c>
      <c r="B143" s="60" t="s">
        <v>17</v>
      </c>
      <c r="C143" s="10" t="str">
        <f>"POL 004700006758"</f>
        <v>POL 004700006758</v>
      </c>
      <c r="D143" s="56">
        <v>42843</v>
      </c>
      <c r="E143" s="56">
        <v>43208</v>
      </c>
      <c r="F143" s="8">
        <v>2338.9</v>
      </c>
      <c r="G143" s="8">
        <v>2572.79</v>
      </c>
      <c r="H143" s="56">
        <v>43100</v>
      </c>
      <c r="I143" s="24">
        <v>0</v>
      </c>
      <c r="J143" s="77"/>
    </row>
    <row r="144" spans="1:11" ht="24" x14ac:dyDescent="0.25">
      <c r="A144" s="115">
        <v>128</v>
      </c>
      <c r="B144" s="60" t="s">
        <v>17</v>
      </c>
      <c r="C144" s="10" t="str">
        <f>"POL 004700006765"</f>
        <v>POL 004700006765</v>
      </c>
      <c r="D144" s="56">
        <v>42934</v>
      </c>
      <c r="E144" s="56">
        <v>43208</v>
      </c>
      <c r="F144" s="8">
        <v>2338.9</v>
      </c>
      <c r="G144" s="8">
        <v>2923.63</v>
      </c>
      <c r="H144" s="56">
        <v>43100</v>
      </c>
      <c r="I144" s="24">
        <v>0</v>
      </c>
      <c r="J144" s="77"/>
    </row>
    <row r="145" spans="1:11" ht="24" x14ac:dyDescent="0.25">
      <c r="A145" s="115">
        <v>129</v>
      </c>
      <c r="B145" s="60" t="s">
        <v>17</v>
      </c>
      <c r="C145" s="10" t="str">
        <f>"POL 004700006757"</f>
        <v>POL 004700006757</v>
      </c>
      <c r="D145" s="56">
        <v>42843</v>
      </c>
      <c r="E145" s="56">
        <v>43208</v>
      </c>
      <c r="F145" s="8">
        <v>2338.5</v>
      </c>
      <c r="G145" s="8">
        <v>2572.79</v>
      </c>
      <c r="H145" s="56">
        <v>43100</v>
      </c>
      <c r="I145" s="24">
        <v>0</v>
      </c>
      <c r="J145" s="77"/>
      <c r="K145" s="48"/>
    </row>
    <row r="146" spans="1:11" ht="24" x14ac:dyDescent="0.25">
      <c r="A146" s="115">
        <v>130</v>
      </c>
      <c r="B146" s="60" t="s">
        <v>17</v>
      </c>
      <c r="C146" s="10" t="str">
        <f>"POL 004700006761"</f>
        <v>POL 004700006761</v>
      </c>
      <c r="D146" s="56">
        <v>42934</v>
      </c>
      <c r="E146" s="56">
        <v>43208</v>
      </c>
      <c r="F146" s="8">
        <v>2338.79</v>
      </c>
      <c r="G146" s="8">
        <v>2923.49</v>
      </c>
      <c r="H146" s="56">
        <v>43100</v>
      </c>
      <c r="I146" s="24">
        <v>0</v>
      </c>
      <c r="J146" s="77"/>
    </row>
    <row r="147" spans="1:11" ht="24" x14ac:dyDescent="0.25">
      <c r="A147" s="115">
        <v>131</v>
      </c>
      <c r="B147" s="60" t="s">
        <v>17</v>
      </c>
      <c r="C147" s="10" t="str">
        <f>"POL 004700006762"</f>
        <v>POL 004700006762</v>
      </c>
      <c r="D147" s="56">
        <v>42843</v>
      </c>
      <c r="E147" s="56">
        <v>43208</v>
      </c>
      <c r="F147" s="8">
        <v>2338.9</v>
      </c>
      <c r="G147" s="8">
        <v>2572.79</v>
      </c>
      <c r="H147" s="56">
        <v>43100</v>
      </c>
      <c r="I147" s="24">
        <v>0</v>
      </c>
      <c r="J147" s="77"/>
    </row>
    <row r="148" spans="1:11" ht="24" x14ac:dyDescent="0.25">
      <c r="A148" s="115">
        <v>132</v>
      </c>
      <c r="B148" s="60" t="s">
        <v>17</v>
      </c>
      <c r="C148" s="10" t="str">
        <f>"POL 004700006756"</f>
        <v>POL 004700006756</v>
      </c>
      <c r="D148" s="56">
        <v>42843</v>
      </c>
      <c r="E148" s="56">
        <v>43208</v>
      </c>
      <c r="F148" s="8">
        <v>2338.9</v>
      </c>
      <c r="G148" s="8">
        <v>2338.9</v>
      </c>
      <c r="H148" s="56">
        <v>43100</v>
      </c>
      <c r="I148" s="24">
        <v>0</v>
      </c>
      <c r="J148" s="77"/>
      <c r="K148" s="48"/>
    </row>
    <row r="149" spans="1:11" ht="24" x14ac:dyDescent="0.25">
      <c r="A149" s="115">
        <v>133</v>
      </c>
      <c r="B149" s="60" t="s">
        <v>194</v>
      </c>
      <c r="C149" s="10" t="str">
        <f>"196/17"</f>
        <v>196/17</v>
      </c>
      <c r="D149" s="56">
        <v>42839</v>
      </c>
      <c r="E149" s="56">
        <v>42839</v>
      </c>
      <c r="F149" s="8">
        <v>16846.099999999999</v>
      </c>
      <c r="G149" s="8">
        <v>21057.63</v>
      </c>
      <c r="H149" s="56">
        <v>42839</v>
      </c>
      <c r="I149" s="24">
        <v>16846.099999999999</v>
      </c>
      <c r="J149" s="77"/>
    </row>
    <row r="150" spans="1:11" x14ac:dyDescent="0.25">
      <c r="A150" s="115">
        <v>134</v>
      </c>
      <c r="B150" s="60" t="s">
        <v>204</v>
      </c>
      <c r="C150" s="10" t="str">
        <f>"017000038055"</f>
        <v>017000038055</v>
      </c>
      <c r="D150" s="56">
        <v>42811</v>
      </c>
      <c r="E150" s="56">
        <v>43197</v>
      </c>
      <c r="F150" s="8">
        <v>349.55</v>
      </c>
      <c r="G150" s="8">
        <v>349.55</v>
      </c>
      <c r="H150" s="56">
        <v>43100</v>
      </c>
      <c r="I150" s="24">
        <v>0</v>
      </c>
      <c r="J150" s="77"/>
    </row>
    <row r="151" spans="1:11" ht="36" x14ac:dyDescent="0.25">
      <c r="A151" s="115">
        <v>135</v>
      </c>
      <c r="B151" s="60" t="s">
        <v>189</v>
      </c>
      <c r="C151" s="10" t="str">
        <f>"205/2017"</f>
        <v>205/2017</v>
      </c>
      <c r="D151" s="56">
        <v>42831</v>
      </c>
      <c r="E151" s="56">
        <v>42861</v>
      </c>
      <c r="F151" s="8">
        <v>37132.660000000003</v>
      </c>
      <c r="G151" s="8">
        <v>37132.660000000003</v>
      </c>
      <c r="H151" s="56">
        <v>42916</v>
      </c>
      <c r="I151" s="24">
        <v>37149.019999999997</v>
      </c>
      <c r="J151" s="77"/>
      <c r="K151" s="48"/>
    </row>
    <row r="152" spans="1:11" x14ac:dyDescent="0.25">
      <c r="A152" s="115">
        <v>136</v>
      </c>
      <c r="B152" s="60" t="s">
        <v>204</v>
      </c>
      <c r="C152" s="10" t="str">
        <f>"004700005187"</f>
        <v>004700005187</v>
      </c>
      <c r="D152" s="56">
        <v>42815</v>
      </c>
      <c r="E152" s="56">
        <v>43195</v>
      </c>
      <c r="F152" s="8">
        <v>2528.14</v>
      </c>
      <c r="G152" s="8">
        <v>2528.14</v>
      </c>
      <c r="H152" s="56">
        <v>43100</v>
      </c>
      <c r="I152" s="24">
        <v>0</v>
      </c>
      <c r="J152" s="77"/>
    </row>
    <row r="153" spans="1:11" ht="24" x14ac:dyDescent="0.25">
      <c r="A153" s="115">
        <v>137</v>
      </c>
      <c r="B153" s="60" t="s">
        <v>200</v>
      </c>
      <c r="C153" s="10" t="str">
        <f>"4500013275"</f>
        <v>4500013275</v>
      </c>
      <c r="D153" s="56">
        <v>42828</v>
      </c>
      <c r="E153" s="56">
        <v>43194</v>
      </c>
      <c r="F153" s="8">
        <v>11144.94</v>
      </c>
      <c r="G153" s="8">
        <v>12259.43</v>
      </c>
      <c r="H153" s="162"/>
      <c r="I153" s="167">
        <v>0</v>
      </c>
      <c r="J153" s="77"/>
    </row>
    <row r="154" spans="1:11" ht="24" x14ac:dyDescent="0.25">
      <c r="A154" s="115">
        <v>138</v>
      </c>
      <c r="B154" s="60" t="s">
        <v>200</v>
      </c>
      <c r="C154" s="10" t="str">
        <f>"4500013272"</f>
        <v>4500013272</v>
      </c>
      <c r="D154" s="56">
        <v>42828</v>
      </c>
      <c r="E154" s="56">
        <v>43194</v>
      </c>
      <c r="F154" s="8">
        <v>2431.6799999999998</v>
      </c>
      <c r="G154" s="8">
        <v>2796.43</v>
      </c>
      <c r="H154" s="162"/>
      <c r="I154" s="167">
        <v>0</v>
      </c>
      <c r="J154" s="77"/>
      <c r="K154" s="48"/>
    </row>
    <row r="155" spans="1:11" ht="24" x14ac:dyDescent="0.25">
      <c r="A155" s="115">
        <v>139</v>
      </c>
      <c r="B155" s="60" t="s">
        <v>193</v>
      </c>
      <c r="C155" s="10" t="str">
        <f>"4/2015 II KVARTAL 2017"</f>
        <v>4/2015 II KVARTAL 2017</v>
      </c>
      <c r="D155" s="56">
        <v>42826</v>
      </c>
      <c r="E155" s="56">
        <v>42916</v>
      </c>
      <c r="F155" s="8">
        <v>6206.65</v>
      </c>
      <c r="G155" s="8">
        <v>7137.65</v>
      </c>
      <c r="H155" s="56">
        <v>42916</v>
      </c>
      <c r="I155" s="24">
        <v>6206.65</v>
      </c>
      <c r="J155" s="77"/>
    </row>
    <row r="156" spans="1:11" ht="24" x14ac:dyDescent="0.25">
      <c r="A156" s="115">
        <v>140</v>
      </c>
      <c r="B156" s="60" t="s">
        <v>195</v>
      </c>
      <c r="C156" s="10" t="str">
        <f>"4/2015-MUP-433"</f>
        <v>4/2015-MUP-433</v>
      </c>
      <c r="D156" s="56">
        <v>42826</v>
      </c>
      <c r="E156" s="56">
        <v>43220</v>
      </c>
      <c r="F156" s="8">
        <v>282.2</v>
      </c>
      <c r="G156" s="8">
        <v>282.2</v>
      </c>
      <c r="H156" s="162"/>
      <c r="I156" s="167">
        <v>0</v>
      </c>
      <c r="J156" s="77"/>
    </row>
    <row r="157" spans="1:11" ht="24" x14ac:dyDescent="0.25">
      <c r="A157" s="115">
        <v>141</v>
      </c>
      <c r="B157" s="60" t="s">
        <v>195</v>
      </c>
      <c r="C157" s="10" t="str">
        <f>"4/2015-MUP-435"</f>
        <v>4/2015-MUP-435</v>
      </c>
      <c r="D157" s="56">
        <v>42826</v>
      </c>
      <c r="E157" s="56">
        <v>43191</v>
      </c>
      <c r="F157" s="8">
        <v>139639.35999999999</v>
      </c>
      <c r="G157" s="8">
        <v>139639.35999999999</v>
      </c>
      <c r="H157" s="162"/>
      <c r="I157" s="167">
        <v>0</v>
      </c>
      <c r="J157" s="77"/>
      <c r="K157" s="48"/>
    </row>
    <row r="158" spans="1:11" ht="24" x14ac:dyDescent="0.25">
      <c r="A158" s="115">
        <v>142</v>
      </c>
      <c r="B158" s="60" t="s">
        <v>17</v>
      </c>
      <c r="C158" s="10" t="str">
        <f>"POL 004700006010"</f>
        <v>POL 004700006010</v>
      </c>
      <c r="D158" s="56">
        <v>42825</v>
      </c>
      <c r="E158" s="56">
        <v>43190</v>
      </c>
      <c r="F158" s="8">
        <v>8027.13</v>
      </c>
      <c r="G158" s="8">
        <v>8829.84</v>
      </c>
      <c r="H158" s="56">
        <v>43100</v>
      </c>
      <c r="I158" s="24">
        <v>0</v>
      </c>
      <c r="J158" s="77"/>
    </row>
    <row r="159" spans="1:11" ht="24" x14ac:dyDescent="0.25">
      <c r="A159" s="115">
        <v>143</v>
      </c>
      <c r="B159" s="60" t="s">
        <v>17</v>
      </c>
      <c r="C159" s="10" t="str">
        <f>"POL. 004700006010"</f>
        <v>POL. 004700006010</v>
      </c>
      <c r="D159" s="56">
        <v>42825</v>
      </c>
      <c r="E159" s="56">
        <v>43190</v>
      </c>
      <c r="F159" s="8">
        <v>8027.13</v>
      </c>
      <c r="G159" s="8">
        <v>8829.84</v>
      </c>
      <c r="H159" s="56">
        <v>43100</v>
      </c>
      <c r="I159" s="24">
        <v>0</v>
      </c>
      <c r="J159" s="77"/>
    </row>
    <row r="160" spans="1:11" ht="24" x14ac:dyDescent="0.25">
      <c r="A160" s="115">
        <v>144</v>
      </c>
      <c r="B160" s="60" t="s">
        <v>17</v>
      </c>
      <c r="C160" s="10" t="str">
        <f>"POL. 004700006012"</f>
        <v>POL. 004700006012</v>
      </c>
      <c r="D160" s="56">
        <v>42825</v>
      </c>
      <c r="E160" s="56">
        <v>43190</v>
      </c>
      <c r="F160" s="8">
        <v>1895.02</v>
      </c>
      <c r="G160" s="8">
        <v>2084.52</v>
      </c>
      <c r="H160" s="56">
        <v>43100</v>
      </c>
      <c r="I160" s="24">
        <v>0</v>
      </c>
      <c r="J160" s="77"/>
      <c r="K160" s="48"/>
    </row>
    <row r="161" spans="1:11" ht="24" x14ac:dyDescent="0.25">
      <c r="A161" s="115">
        <v>145</v>
      </c>
      <c r="B161" s="60" t="s">
        <v>17</v>
      </c>
      <c r="C161" s="10" t="str">
        <f>"POL. 004700006017"</f>
        <v>POL. 004700006017</v>
      </c>
      <c r="D161" s="56">
        <v>42825</v>
      </c>
      <c r="E161" s="56">
        <v>43190</v>
      </c>
      <c r="F161" s="8">
        <v>2158.17</v>
      </c>
      <c r="G161" s="8">
        <v>2373.9899999999998</v>
      </c>
      <c r="H161" s="56">
        <v>43100</v>
      </c>
      <c r="I161" s="24">
        <v>0</v>
      </c>
      <c r="J161" s="77"/>
    </row>
    <row r="162" spans="1:11" ht="24" x14ac:dyDescent="0.25">
      <c r="A162" s="115">
        <v>146</v>
      </c>
      <c r="B162" s="60" t="s">
        <v>17</v>
      </c>
      <c r="C162" s="10" t="str">
        <f>"POL. 004700006015"</f>
        <v>POL. 004700006015</v>
      </c>
      <c r="D162" s="56">
        <v>42825</v>
      </c>
      <c r="E162" s="56">
        <v>43190</v>
      </c>
      <c r="F162" s="8">
        <v>2158.17</v>
      </c>
      <c r="G162" s="8">
        <v>2373.9899999999998</v>
      </c>
      <c r="H162" s="56">
        <v>43100</v>
      </c>
      <c r="I162" s="24">
        <v>0</v>
      </c>
      <c r="J162" s="77"/>
    </row>
    <row r="163" spans="1:11" ht="24" x14ac:dyDescent="0.25">
      <c r="A163" s="115">
        <v>147</v>
      </c>
      <c r="B163" s="60" t="s">
        <v>197</v>
      </c>
      <c r="C163" s="10" t="str">
        <f>"N103/2017DT"</f>
        <v>N103/2017DT</v>
      </c>
      <c r="D163" s="56">
        <v>42821</v>
      </c>
      <c r="E163" s="56">
        <v>42845</v>
      </c>
      <c r="F163" s="8">
        <v>722.89</v>
      </c>
      <c r="G163" s="8">
        <v>722.89</v>
      </c>
      <c r="H163" s="56">
        <v>42845</v>
      </c>
      <c r="I163" s="24">
        <v>722.89</v>
      </c>
      <c r="J163" s="77"/>
      <c r="K163" s="48"/>
    </row>
    <row r="164" spans="1:11" ht="24" x14ac:dyDescent="0.25">
      <c r="A164" s="115">
        <v>148</v>
      </c>
      <c r="B164" s="60" t="s">
        <v>194</v>
      </c>
      <c r="C164" s="10" t="str">
        <f>"150/17"</f>
        <v>150/17</v>
      </c>
      <c r="D164" s="56">
        <v>42816</v>
      </c>
      <c r="E164" s="56">
        <v>42816</v>
      </c>
      <c r="F164" s="8">
        <v>8236.52</v>
      </c>
      <c r="G164" s="8">
        <v>10295.66</v>
      </c>
      <c r="H164" s="56">
        <v>42816</v>
      </c>
      <c r="I164" s="24">
        <v>8236.52</v>
      </c>
      <c r="J164" s="77"/>
    </row>
    <row r="165" spans="1:11" x14ac:dyDescent="0.25">
      <c r="A165" s="115">
        <v>149</v>
      </c>
      <c r="B165" s="60" t="s">
        <v>16</v>
      </c>
      <c r="C165" s="10" t="str">
        <f>"62/2017"</f>
        <v>62/2017</v>
      </c>
      <c r="D165" s="56">
        <v>42811</v>
      </c>
      <c r="E165" s="56">
        <v>42811</v>
      </c>
      <c r="F165" s="8">
        <v>542.85</v>
      </c>
      <c r="G165" s="8">
        <v>624.28</v>
      </c>
      <c r="H165" s="56">
        <v>43100</v>
      </c>
      <c r="I165" s="24">
        <v>542.85</v>
      </c>
      <c r="J165" s="77"/>
    </row>
    <row r="166" spans="1:11" ht="24" x14ac:dyDescent="0.25">
      <c r="A166" s="115">
        <v>150</v>
      </c>
      <c r="B166" s="60" t="s">
        <v>200</v>
      </c>
      <c r="C166" s="10" t="str">
        <f>"4500013144"</f>
        <v>4500013144</v>
      </c>
      <c r="D166" s="56">
        <v>42803</v>
      </c>
      <c r="E166" s="56">
        <v>42806</v>
      </c>
      <c r="F166" s="8">
        <v>289.55</v>
      </c>
      <c r="G166" s="8">
        <v>332.98</v>
      </c>
      <c r="H166" s="56">
        <v>42825</v>
      </c>
      <c r="I166" s="24">
        <v>289.55</v>
      </c>
      <c r="J166" s="77"/>
      <c r="K166" s="48"/>
    </row>
    <row r="167" spans="1:11" ht="24" x14ac:dyDescent="0.25">
      <c r="A167" s="115">
        <v>151</v>
      </c>
      <c r="B167" s="60" t="s">
        <v>202</v>
      </c>
      <c r="C167" s="10" t="str">
        <f>"033/2017 - OBVEZNO"</f>
        <v>033/2017 - OBVEZNO</v>
      </c>
      <c r="D167" s="56">
        <v>42802</v>
      </c>
      <c r="E167" s="56">
        <v>42806</v>
      </c>
      <c r="F167" s="8">
        <v>463.28</v>
      </c>
      <c r="G167" s="8">
        <v>532.77</v>
      </c>
      <c r="H167" s="56">
        <v>42825</v>
      </c>
      <c r="I167" s="24">
        <v>463.28</v>
      </c>
      <c r="J167" s="77"/>
    </row>
    <row r="168" spans="1:11" ht="24" x14ac:dyDescent="0.25">
      <c r="A168" s="115">
        <v>152</v>
      </c>
      <c r="B168" s="60" t="s">
        <v>202</v>
      </c>
      <c r="C168" s="10" t="str">
        <f>"032/2017 - KASKO"</f>
        <v>032/2017 - KASKO</v>
      </c>
      <c r="D168" s="56">
        <v>42802</v>
      </c>
      <c r="E168" s="56">
        <v>42806</v>
      </c>
      <c r="F168" s="8">
        <v>3325.25</v>
      </c>
      <c r="G168" s="8">
        <v>3657.78</v>
      </c>
      <c r="H168" s="56">
        <v>42825</v>
      </c>
      <c r="I168" s="24">
        <v>3325.25</v>
      </c>
      <c r="J168" s="77"/>
    </row>
    <row r="169" spans="1:11" ht="24" x14ac:dyDescent="0.25">
      <c r="A169" s="115">
        <v>153</v>
      </c>
      <c r="B169" s="60" t="s">
        <v>197</v>
      </c>
      <c r="C169" s="10" t="str">
        <f>"N065/2017DT"</f>
        <v>N065/2017DT</v>
      </c>
      <c r="D169" s="56">
        <v>42795</v>
      </c>
      <c r="E169" s="56">
        <v>42816</v>
      </c>
      <c r="F169" s="8">
        <v>2116.96</v>
      </c>
      <c r="G169" s="8">
        <v>2116.96</v>
      </c>
      <c r="H169" s="56">
        <v>42816</v>
      </c>
      <c r="I169" s="24">
        <v>2116.96</v>
      </c>
      <c r="J169" s="77"/>
      <c r="K169" s="48"/>
    </row>
    <row r="170" spans="1:11" ht="36" x14ac:dyDescent="0.25">
      <c r="A170" s="115">
        <v>154</v>
      </c>
      <c r="B170" s="60" t="s">
        <v>97</v>
      </c>
      <c r="C170" s="10" t="str">
        <f>"519-02-3-1/6-17-22"</f>
        <v>519-02-3-1/6-17-22</v>
      </c>
      <c r="D170" s="56">
        <v>42794</v>
      </c>
      <c r="E170" s="56">
        <v>42825</v>
      </c>
      <c r="F170" s="8">
        <v>128800</v>
      </c>
      <c r="G170" s="8">
        <v>161000</v>
      </c>
      <c r="H170" s="56">
        <v>42825</v>
      </c>
      <c r="I170" s="24">
        <v>123362.42</v>
      </c>
      <c r="J170" s="77"/>
    </row>
    <row r="171" spans="1:11" ht="24" x14ac:dyDescent="0.25">
      <c r="A171" s="115">
        <v>155</v>
      </c>
      <c r="B171" s="60" t="s">
        <v>195</v>
      </c>
      <c r="C171" s="10" t="str">
        <f>"4/2015-MUP-432"</f>
        <v>4/2015-MUP-432</v>
      </c>
      <c r="D171" s="56">
        <v>42795</v>
      </c>
      <c r="E171" s="56">
        <v>43190</v>
      </c>
      <c r="F171" s="8">
        <v>95947</v>
      </c>
      <c r="G171" s="8">
        <v>95947</v>
      </c>
      <c r="H171" s="162"/>
      <c r="I171" s="167">
        <v>0</v>
      </c>
      <c r="J171" s="77"/>
    </row>
    <row r="172" spans="1:11" ht="36" x14ac:dyDescent="0.25">
      <c r="A172" s="115">
        <v>156</v>
      </c>
      <c r="B172" s="60" t="s">
        <v>97</v>
      </c>
      <c r="C172" s="10" t="str">
        <f>"519-02-3-1/6-17-21"</f>
        <v>519-02-3-1/6-17-21</v>
      </c>
      <c r="D172" s="56">
        <v>42793</v>
      </c>
      <c r="E172" s="56">
        <v>42825</v>
      </c>
      <c r="F172" s="8">
        <v>13600</v>
      </c>
      <c r="G172" s="8">
        <v>17000</v>
      </c>
      <c r="H172" s="56">
        <v>42825</v>
      </c>
      <c r="I172" s="24">
        <v>10150.209999999999</v>
      </c>
      <c r="J172" s="77"/>
      <c r="K172" s="48"/>
    </row>
    <row r="173" spans="1:11" ht="24" x14ac:dyDescent="0.25">
      <c r="A173" s="115">
        <v>157</v>
      </c>
      <c r="B173" s="60" t="s">
        <v>195</v>
      </c>
      <c r="C173" s="10" t="str">
        <f>"4/2015-MUP-434"</f>
        <v>4/2015-MUP-434</v>
      </c>
      <c r="D173" s="56">
        <v>42795</v>
      </c>
      <c r="E173" s="56">
        <v>43160</v>
      </c>
      <c r="F173" s="8">
        <v>95732.12</v>
      </c>
      <c r="G173" s="8">
        <v>95732.12</v>
      </c>
      <c r="H173" s="162"/>
      <c r="I173" s="167">
        <v>0</v>
      </c>
      <c r="J173" s="77"/>
    </row>
    <row r="174" spans="1:11" ht="36" x14ac:dyDescent="0.25">
      <c r="A174" s="115">
        <v>158</v>
      </c>
      <c r="B174" s="60" t="s">
        <v>189</v>
      </c>
      <c r="C174" s="10" t="str">
        <f>"93/2017"</f>
        <v>93/2017</v>
      </c>
      <c r="D174" s="56">
        <v>42782</v>
      </c>
      <c r="E174" s="56">
        <v>42810</v>
      </c>
      <c r="F174" s="8">
        <v>443.54</v>
      </c>
      <c r="G174" s="8">
        <v>443.54</v>
      </c>
      <c r="H174" s="56">
        <v>42825</v>
      </c>
      <c r="I174" s="24">
        <v>443.54</v>
      </c>
      <c r="J174" s="77"/>
    </row>
    <row r="175" spans="1:11" ht="24" x14ac:dyDescent="0.25">
      <c r="A175" s="115">
        <v>159</v>
      </c>
      <c r="B175" s="60" t="s">
        <v>194</v>
      </c>
      <c r="C175" s="10" t="str">
        <f>"63/17"</f>
        <v>63/17</v>
      </c>
      <c r="D175" s="56">
        <v>42781</v>
      </c>
      <c r="E175" s="56">
        <v>42781</v>
      </c>
      <c r="F175" s="8">
        <v>4979.6499999999996</v>
      </c>
      <c r="G175" s="8">
        <v>6224.57</v>
      </c>
      <c r="H175" s="56">
        <v>42781</v>
      </c>
      <c r="I175" s="24">
        <v>4979.6499999999996</v>
      </c>
      <c r="J175" s="77"/>
      <c r="K175" s="48"/>
    </row>
    <row r="176" spans="1:11" ht="24" x14ac:dyDescent="0.25">
      <c r="A176" s="115">
        <v>160</v>
      </c>
      <c r="B176" s="60" t="s">
        <v>200</v>
      </c>
      <c r="C176" s="10" t="str">
        <f>"4500012991"</f>
        <v>4500012991</v>
      </c>
      <c r="D176" s="56">
        <v>42767</v>
      </c>
      <c r="E176" s="56">
        <v>43135</v>
      </c>
      <c r="F176" s="8">
        <v>866.73</v>
      </c>
      <c r="G176" s="8">
        <v>966.74</v>
      </c>
      <c r="H176" s="56">
        <v>42825</v>
      </c>
      <c r="I176" s="24">
        <v>866.73</v>
      </c>
      <c r="J176" s="77"/>
    </row>
    <row r="177" spans="1:11" ht="24" x14ac:dyDescent="0.25">
      <c r="A177" s="115">
        <v>161</v>
      </c>
      <c r="B177" s="60" t="s">
        <v>195</v>
      </c>
      <c r="C177" s="10" t="str">
        <f>"4/2015-MUP-431"</f>
        <v>4/2015-MUP-431</v>
      </c>
      <c r="D177" s="56">
        <v>42767</v>
      </c>
      <c r="E177" s="56">
        <v>43159</v>
      </c>
      <c r="F177" s="8">
        <v>59397.58</v>
      </c>
      <c r="G177" s="8">
        <v>59397.58</v>
      </c>
      <c r="H177" s="162"/>
      <c r="I177" s="167">
        <v>0</v>
      </c>
      <c r="J177" s="77"/>
    </row>
    <row r="178" spans="1:11" ht="24" x14ac:dyDescent="0.25">
      <c r="A178" s="115">
        <v>162</v>
      </c>
      <c r="B178" s="60" t="s">
        <v>197</v>
      </c>
      <c r="C178" s="10" t="str">
        <f>"N006/2017DT"</f>
        <v>N006/2017DT</v>
      </c>
      <c r="D178" s="56">
        <v>42766</v>
      </c>
      <c r="E178" s="56">
        <v>42794</v>
      </c>
      <c r="F178" s="8">
        <v>476.79</v>
      </c>
      <c r="G178" s="8">
        <v>476.79</v>
      </c>
      <c r="H178" s="56">
        <v>42794</v>
      </c>
      <c r="I178" s="24">
        <v>476.79</v>
      </c>
      <c r="J178" s="77"/>
      <c r="K178" s="48"/>
    </row>
    <row r="179" spans="1:11" ht="36" x14ac:dyDescent="0.25">
      <c r="A179" s="115">
        <v>163</v>
      </c>
      <c r="B179" s="60" t="s">
        <v>189</v>
      </c>
      <c r="C179" s="10" t="str">
        <f>"43/2017"</f>
        <v>43/2017</v>
      </c>
      <c r="D179" s="56">
        <v>42759</v>
      </c>
      <c r="E179" s="56">
        <v>42790</v>
      </c>
      <c r="F179" s="8">
        <v>4477.5</v>
      </c>
      <c r="G179" s="8">
        <v>4477.5</v>
      </c>
      <c r="H179" s="56">
        <v>42825</v>
      </c>
      <c r="I179" s="24">
        <v>4477.5</v>
      </c>
      <c r="J179" s="77"/>
    </row>
    <row r="180" spans="1:11" x14ac:dyDescent="0.25">
      <c r="A180" s="115">
        <v>164</v>
      </c>
      <c r="B180" s="60" t="s">
        <v>186</v>
      </c>
      <c r="C180" s="10" t="str">
        <f>"017000159561"</f>
        <v>017000159561</v>
      </c>
      <c r="D180" s="56">
        <v>42758</v>
      </c>
      <c r="E180" s="56">
        <v>43123</v>
      </c>
      <c r="F180" s="8">
        <v>191.31</v>
      </c>
      <c r="G180" s="8">
        <v>220.01</v>
      </c>
      <c r="H180" s="56">
        <v>43008</v>
      </c>
      <c r="I180" s="24">
        <v>191.31</v>
      </c>
      <c r="J180" s="77"/>
    </row>
    <row r="181" spans="1:11" x14ac:dyDescent="0.25">
      <c r="A181" s="115">
        <v>165</v>
      </c>
      <c r="B181" s="60" t="s">
        <v>204</v>
      </c>
      <c r="C181" s="10" t="str">
        <f>"017000308737"</f>
        <v>017000308737</v>
      </c>
      <c r="D181" s="56">
        <v>42746</v>
      </c>
      <c r="E181" s="56">
        <v>43120</v>
      </c>
      <c r="F181" s="8">
        <v>264.95999999999998</v>
      </c>
      <c r="G181" s="8">
        <v>264.95999999999998</v>
      </c>
      <c r="H181" s="56">
        <v>43100</v>
      </c>
      <c r="I181" s="24">
        <v>264.95999999999998</v>
      </c>
      <c r="J181" s="77"/>
      <c r="K181" s="48"/>
    </row>
    <row r="182" spans="1:11" x14ac:dyDescent="0.25">
      <c r="A182" s="115">
        <v>166</v>
      </c>
      <c r="B182" s="60" t="s">
        <v>204</v>
      </c>
      <c r="C182" s="10" t="str">
        <f>"004700000548"</f>
        <v>004700000548</v>
      </c>
      <c r="D182" s="56">
        <v>42746</v>
      </c>
      <c r="E182" s="56">
        <v>43120</v>
      </c>
      <c r="F182" s="8">
        <v>1785.11</v>
      </c>
      <c r="G182" s="8">
        <v>1785.11</v>
      </c>
      <c r="H182" s="56">
        <v>43100</v>
      </c>
      <c r="I182" s="24">
        <v>1785.11</v>
      </c>
      <c r="J182" s="77"/>
    </row>
    <row r="183" spans="1:11" ht="24" x14ac:dyDescent="0.25">
      <c r="A183" s="115">
        <v>167</v>
      </c>
      <c r="B183" s="60" t="s">
        <v>200</v>
      </c>
      <c r="C183" s="10" t="str">
        <f>"4500012901"</f>
        <v>4500012901</v>
      </c>
      <c r="D183" s="56">
        <v>42733</v>
      </c>
      <c r="E183" s="56">
        <v>43107</v>
      </c>
      <c r="F183" s="8">
        <v>288.91000000000003</v>
      </c>
      <c r="G183" s="8">
        <v>332.25</v>
      </c>
      <c r="H183" s="56">
        <v>42825</v>
      </c>
      <c r="I183" s="24">
        <v>288.91000000000003</v>
      </c>
      <c r="J183" s="77"/>
    </row>
    <row r="184" spans="1:11" ht="24" x14ac:dyDescent="0.25">
      <c r="A184" s="115">
        <v>168</v>
      </c>
      <c r="B184" s="60" t="s">
        <v>193</v>
      </c>
      <c r="C184" s="10" t="str">
        <f>"O-17/OSIG."</f>
        <v>O-17/OSIG.</v>
      </c>
      <c r="D184" s="56">
        <v>42736</v>
      </c>
      <c r="E184" s="56">
        <v>42825</v>
      </c>
      <c r="F184" s="8">
        <v>10061.209999999999</v>
      </c>
      <c r="G184" s="8">
        <v>12576.51</v>
      </c>
      <c r="H184" s="56">
        <v>42825</v>
      </c>
      <c r="I184" s="24">
        <v>10061.209999999999</v>
      </c>
      <c r="J184" s="77"/>
      <c r="K184" s="48"/>
    </row>
    <row r="185" spans="1:11" ht="24" x14ac:dyDescent="0.25">
      <c r="A185" s="115">
        <v>169</v>
      </c>
      <c r="B185" s="60" t="s">
        <v>206</v>
      </c>
      <c r="C185" s="10" t="str">
        <f>"NARUDŽBENICE POLICE"</f>
        <v>NARUDŽBENICE POLICE</v>
      </c>
      <c r="D185" s="56">
        <v>42736</v>
      </c>
      <c r="E185" s="56">
        <v>43039</v>
      </c>
      <c r="F185" s="8">
        <v>40000</v>
      </c>
      <c r="G185" s="8">
        <v>50000</v>
      </c>
      <c r="H185" s="56">
        <v>43008</v>
      </c>
      <c r="I185" s="24">
        <v>32188.89</v>
      </c>
      <c r="J185" s="77"/>
    </row>
    <row r="186" spans="1:11" ht="26.25" customHeight="1" x14ac:dyDescent="0.25">
      <c r="A186" s="115">
        <v>170</v>
      </c>
      <c r="B186" s="60" t="s">
        <v>208</v>
      </c>
      <c r="C186" s="10" t="str">
        <f>"NAR 2017-AUTOODGOVORNOST"</f>
        <v>NAR 2017-AUTOODGOVORNOST</v>
      </c>
      <c r="D186" s="56">
        <v>42736</v>
      </c>
      <c r="E186" s="56">
        <v>42978</v>
      </c>
      <c r="F186" s="8">
        <v>11827.09</v>
      </c>
      <c r="G186" s="8">
        <v>14783.86</v>
      </c>
      <c r="H186" s="56">
        <v>42998</v>
      </c>
      <c r="I186" s="24">
        <v>11827.09</v>
      </c>
      <c r="J186" s="77"/>
    </row>
    <row r="187" spans="1:11" ht="24" x14ac:dyDescent="0.25">
      <c r="A187" s="115">
        <v>171</v>
      </c>
      <c r="B187" s="60" t="s">
        <v>195</v>
      </c>
      <c r="C187" s="10" t="str">
        <f>"4/2015-MUP-430"</f>
        <v>4/2015-MUP-430</v>
      </c>
      <c r="D187" s="56">
        <v>42736</v>
      </c>
      <c r="E187" s="56">
        <v>43131</v>
      </c>
      <c r="F187" s="8">
        <v>25352.07</v>
      </c>
      <c r="G187" s="8">
        <v>25352.07</v>
      </c>
      <c r="H187" s="162"/>
      <c r="I187" s="167">
        <v>0</v>
      </c>
      <c r="J187" s="77"/>
      <c r="K187" s="48"/>
    </row>
    <row r="188" spans="1:11" ht="24" x14ac:dyDescent="0.25">
      <c r="A188" s="115">
        <v>172</v>
      </c>
      <c r="B188" s="60" t="s">
        <v>195</v>
      </c>
      <c r="C188" s="10" t="str">
        <f>"4/2015-MUP-428"</f>
        <v>4/2015-MUP-428</v>
      </c>
      <c r="D188" s="56">
        <v>42735</v>
      </c>
      <c r="E188" s="56">
        <v>43100</v>
      </c>
      <c r="F188" s="8">
        <v>292.82</v>
      </c>
      <c r="G188" s="8">
        <v>292.82</v>
      </c>
      <c r="H188" s="56">
        <v>43100</v>
      </c>
      <c r="I188" s="24">
        <v>292.82</v>
      </c>
      <c r="J188" s="77"/>
    </row>
    <row r="189" spans="1:11" ht="24" x14ac:dyDescent="0.25">
      <c r="A189" s="115">
        <v>173</v>
      </c>
      <c r="B189" s="60" t="s">
        <v>195</v>
      </c>
      <c r="C189" s="10" t="str">
        <f>"4/2015-MUP-427"</f>
        <v>4/2015-MUP-427</v>
      </c>
      <c r="D189" s="56">
        <v>42734</v>
      </c>
      <c r="E189" s="56">
        <v>43099</v>
      </c>
      <c r="F189" s="8">
        <v>3012.63</v>
      </c>
      <c r="G189" s="8">
        <v>3012.63</v>
      </c>
      <c r="H189" s="56">
        <v>43099</v>
      </c>
      <c r="I189" s="24">
        <v>3012.63</v>
      </c>
      <c r="J189" s="77"/>
    </row>
    <row r="190" spans="1:11" ht="24" x14ac:dyDescent="0.25">
      <c r="A190" s="115">
        <v>174</v>
      </c>
      <c r="B190" s="60" t="s">
        <v>195</v>
      </c>
      <c r="C190" s="10" t="str">
        <f>"4/2015-MUP-426"</f>
        <v>4/2015-MUP-426</v>
      </c>
      <c r="D190" s="56">
        <v>42733</v>
      </c>
      <c r="E190" s="56">
        <v>43098</v>
      </c>
      <c r="F190" s="8">
        <v>1336.43</v>
      </c>
      <c r="G190" s="8">
        <v>1336.43</v>
      </c>
      <c r="H190" s="56">
        <v>43098</v>
      </c>
      <c r="I190" s="24">
        <v>1336.43</v>
      </c>
      <c r="J190" s="77"/>
      <c r="K190" s="48"/>
    </row>
    <row r="191" spans="1:11" ht="24" x14ac:dyDescent="0.25">
      <c r="A191" s="115">
        <v>175</v>
      </c>
      <c r="B191" s="60" t="s">
        <v>195</v>
      </c>
      <c r="C191" s="10" t="str">
        <f>"4/2015-MUP-425"</f>
        <v>4/2015-MUP-425</v>
      </c>
      <c r="D191" s="56">
        <v>42731</v>
      </c>
      <c r="E191" s="56">
        <v>43096</v>
      </c>
      <c r="F191" s="8">
        <v>2541.2800000000002</v>
      </c>
      <c r="G191" s="8">
        <v>2541.2800000000002</v>
      </c>
      <c r="H191" s="56">
        <v>43096</v>
      </c>
      <c r="I191" s="24">
        <v>2541.2800000000002</v>
      </c>
      <c r="J191" s="77"/>
    </row>
    <row r="192" spans="1:11" x14ac:dyDescent="0.25">
      <c r="A192" s="115">
        <v>176</v>
      </c>
      <c r="B192" s="60" t="s">
        <v>210</v>
      </c>
      <c r="C192" s="10" t="str">
        <f>"4/2015-PU-47"</f>
        <v>4/2015-PU-47</v>
      </c>
      <c r="D192" s="56">
        <v>42731</v>
      </c>
      <c r="E192" s="56">
        <v>43096</v>
      </c>
      <c r="F192" s="8">
        <v>147.87</v>
      </c>
      <c r="G192" s="8">
        <v>147.87</v>
      </c>
      <c r="H192" s="56">
        <v>43096</v>
      </c>
      <c r="I192" s="24">
        <v>147.87</v>
      </c>
      <c r="J192" s="77"/>
    </row>
    <row r="193" spans="1:11" x14ac:dyDescent="0.25">
      <c r="A193" s="115">
        <v>177</v>
      </c>
      <c r="B193" s="60" t="s">
        <v>210</v>
      </c>
      <c r="C193" s="10" t="str">
        <f>"4/2015-PU-44"</f>
        <v>4/2015-PU-44</v>
      </c>
      <c r="D193" s="56">
        <v>42728</v>
      </c>
      <c r="E193" s="56">
        <v>43093</v>
      </c>
      <c r="F193" s="8">
        <v>147.87</v>
      </c>
      <c r="G193" s="8">
        <v>147.87</v>
      </c>
      <c r="H193" s="56">
        <v>43093</v>
      </c>
      <c r="I193" s="24">
        <v>147.87</v>
      </c>
      <c r="J193" s="77"/>
      <c r="K193" s="48"/>
    </row>
    <row r="194" spans="1:11" ht="24" x14ac:dyDescent="0.25">
      <c r="A194" s="115">
        <v>178</v>
      </c>
      <c r="B194" s="60" t="s">
        <v>195</v>
      </c>
      <c r="C194" s="10" t="str">
        <f>"4/2015-MUP-424"</f>
        <v>4/2015-MUP-424</v>
      </c>
      <c r="D194" s="56">
        <v>42728</v>
      </c>
      <c r="E194" s="56">
        <v>43093</v>
      </c>
      <c r="F194" s="8">
        <v>347.58</v>
      </c>
      <c r="G194" s="8">
        <v>347.58</v>
      </c>
      <c r="H194" s="56">
        <v>43093</v>
      </c>
      <c r="I194" s="24">
        <v>347.58</v>
      </c>
      <c r="J194" s="77"/>
    </row>
    <row r="195" spans="1:11" ht="24" x14ac:dyDescent="0.25">
      <c r="A195" s="115">
        <v>179</v>
      </c>
      <c r="B195" s="60" t="s">
        <v>195</v>
      </c>
      <c r="C195" s="10" t="str">
        <f>"4/2015-MUP-423"</f>
        <v>4/2015-MUP-423</v>
      </c>
      <c r="D195" s="56">
        <v>42727</v>
      </c>
      <c r="E195" s="56">
        <v>43092</v>
      </c>
      <c r="F195" s="8">
        <v>192.84</v>
      </c>
      <c r="G195" s="8">
        <v>192.84</v>
      </c>
      <c r="H195" s="56">
        <v>43092</v>
      </c>
      <c r="I195" s="24">
        <v>192.84</v>
      </c>
      <c r="J195" s="77"/>
    </row>
    <row r="196" spans="1:11" x14ac:dyDescent="0.25">
      <c r="A196" s="115">
        <v>180</v>
      </c>
      <c r="B196" s="60" t="s">
        <v>210</v>
      </c>
      <c r="C196" s="10" t="str">
        <f>"4/2015-PU-46"</f>
        <v>4/2015-PU-46</v>
      </c>
      <c r="D196" s="56">
        <v>42726</v>
      </c>
      <c r="E196" s="56">
        <v>43091</v>
      </c>
      <c r="F196" s="8">
        <v>147.87</v>
      </c>
      <c r="G196" s="8">
        <v>147.87</v>
      </c>
      <c r="H196" s="56">
        <v>43091</v>
      </c>
      <c r="I196" s="24">
        <v>147.87</v>
      </c>
      <c r="J196" s="77"/>
      <c r="K196" s="48"/>
    </row>
    <row r="197" spans="1:11" ht="24" x14ac:dyDescent="0.25">
      <c r="A197" s="115">
        <v>181</v>
      </c>
      <c r="B197" s="60" t="s">
        <v>195</v>
      </c>
      <c r="C197" s="10" t="str">
        <f>"4/2015-MUP-422"</f>
        <v>4/2015-MUP-422</v>
      </c>
      <c r="D197" s="56">
        <v>42726</v>
      </c>
      <c r="E197" s="56">
        <v>43091</v>
      </c>
      <c r="F197" s="8">
        <v>4670.41</v>
      </c>
      <c r="G197" s="8">
        <v>4670.41</v>
      </c>
      <c r="H197" s="56">
        <v>43091</v>
      </c>
      <c r="I197" s="24">
        <v>4670.41</v>
      </c>
      <c r="J197" s="77"/>
    </row>
    <row r="198" spans="1:11" ht="24" x14ac:dyDescent="0.25">
      <c r="A198" s="115">
        <v>182</v>
      </c>
      <c r="B198" s="60" t="s">
        <v>195</v>
      </c>
      <c r="C198" s="10" t="str">
        <f>"4/2015-MUP-421"</f>
        <v>4/2015-MUP-421</v>
      </c>
      <c r="D198" s="56">
        <v>42725</v>
      </c>
      <c r="E198" s="56">
        <v>43090</v>
      </c>
      <c r="F198" s="8">
        <v>336.11</v>
      </c>
      <c r="G198" s="8">
        <v>336.11</v>
      </c>
      <c r="H198" s="56">
        <v>43090</v>
      </c>
      <c r="I198" s="24">
        <v>336.11</v>
      </c>
      <c r="J198" s="77"/>
    </row>
    <row r="199" spans="1:11" ht="24" x14ac:dyDescent="0.25">
      <c r="A199" s="115">
        <v>183</v>
      </c>
      <c r="B199" s="60" t="s">
        <v>195</v>
      </c>
      <c r="C199" s="10" t="str">
        <f>"4/2015-MUP-420"</f>
        <v>4/2015-MUP-420</v>
      </c>
      <c r="D199" s="56">
        <v>42724</v>
      </c>
      <c r="E199" s="56">
        <v>43089</v>
      </c>
      <c r="F199" s="8">
        <v>141.81</v>
      </c>
      <c r="G199" s="8">
        <v>141.81</v>
      </c>
      <c r="H199" s="56">
        <v>43089</v>
      </c>
      <c r="I199" s="24">
        <v>141.81</v>
      </c>
      <c r="J199" s="77"/>
      <c r="K199" s="48"/>
    </row>
    <row r="200" spans="1:11" ht="24" x14ac:dyDescent="0.25">
      <c r="A200" s="115">
        <v>184</v>
      </c>
      <c r="B200" s="60" t="s">
        <v>195</v>
      </c>
      <c r="C200" s="10" t="str">
        <f>"4/2015-MUP-419"</f>
        <v>4/2015-MUP-419</v>
      </c>
      <c r="D200" s="56">
        <v>42723</v>
      </c>
      <c r="E200" s="56">
        <v>43088</v>
      </c>
      <c r="F200" s="8">
        <v>141.81</v>
      </c>
      <c r="G200" s="8">
        <v>141.81</v>
      </c>
      <c r="H200" s="56">
        <v>43088</v>
      </c>
      <c r="I200" s="24">
        <v>141.81</v>
      </c>
      <c r="J200" s="77"/>
    </row>
    <row r="201" spans="1:11" ht="24" x14ac:dyDescent="0.25">
      <c r="A201" s="115">
        <v>185</v>
      </c>
      <c r="B201" s="60" t="s">
        <v>17</v>
      </c>
      <c r="C201" s="10" t="str">
        <f>"POL 17000155809"</f>
        <v>POL 17000155809</v>
      </c>
      <c r="D201" s="56">
        <v>42722</v>
      </c>
      <c r="E201" s="56">
        <v>43087</v>
      </c>
      <c r="F201" s="8">
        <v>429.68</v>
      </c>
      <c r="G201" s="8">
        <v>494.13</v>
      </c>
      <c r="H201" s="56">
        <v>43087</v>
      </c>
      <c r="I201" s="24">
        <v>429.68</v>
      </c>
      <c r="J201" s="77"/>
    </row>
    <row r="202" spans="1:11" ht="24" x14ac:dyDescent="0.25">
      <c r="A202" s="115">
        <v>186</v>
      </c>
      <c r="B202" s="60" t="s">
        <v>17</v>
      </c>
      <c r="C202" s="10" t="str">
        <f>"POL 17000155787"</f>
        <v>POL 17000155787</v>
      </c>
      <c r="D202" s="56">
        <v>42722</v>
      </c>
      <c r="E202" s="56">
        <v>43087</v>
      </c>
      <c r="F202" s="8">
        <v>383.8</v>
      </c>
      <c r="G202" s="8">
        <v>441.37</v>
      </c>
      <c r="H202" s="56">
        <v>43087</v>
      </c>
      <c r="I202" s="24">
        <v>441.37</v>
      </c>
      <c r="J202" s="77"/>
      <c r="K202" s="48"/>
    </row>
    <row r="203" spans="1:11" ht="24" x14ac:dyDescent="0.25">
      <c r="A203" s="115">
        <v>187</v>
      </c>
      <c r="B203" s="60" t="s">
        <v>195</v>
      </c>
      <c r="C203" s="10" t="str">
        <f>"4/2015-MUP-418"</f>
        <v>4/2015-MUP-418</v>
      </c>
      <c r="D203" s="56">
        <v>42722</v>
      </c>
      <c r="E203" s="56">
        <v>43087</v>
      </c>
      <c r="F203" s="8">
        <v>531.01</v>
      </c>
      <c r="G203" s="8">
        <v>531.01</v>
      </c>
      <c r="H203" s="56">
        <v>43100</v>
      </c>
      <c r="I203" s="24">
        <v>531.01</v>
      </c>
      <c r="J203" s="77"/>
    </row>
    <row r="204" spans="1:11" x14ac:dyDescent="0.25">
      <c r="A204" s="115">
        <v>188</v>
      </c>
      <c r="B204" s="60" t="s">
        <v>210</v>
      </c>
      <c r="C204" s="10" t="str">
        <f>"4/2015-PU-45"</f>
        <v>4/2015-PU-45</v>
      </c>
      <c r="D204" s="56">
        <v>42721</v>
      </c>
      <c r="E204" s="56">
        <v>43086</v>
      </c>
      <c r="F204" s="8">
        <v>201.6</v>
      </c>
      <c r="G204" s="8">
        <v>201.6</v>
      </c>
      <c r="H204" s="56">
        <v>43086</v>
      </c>
      <c r="I204" s="24">
        <v>201.6</v>
      </c>
      <c r="J204" s="77"/>
    </row>
    <row r="205" spans="1:11" ht="24" x14ac:dyDescent="0.25">
      <c r="A205" s="115">
        <v>189</v>
      </c>
      <c r="B205" s="60" t="s">
        <v>195</v>
      </c>
      <c r="C205" s="10" t="str">
        <f>"4/2015-MUP-417"</f>
        <v>4/2015-MUP-417</v>
      </c>
      <c r="D205" s="56">
        <v>42721</v>
      </c>
      <c r="E205" s="56">
        <v>43086</v>
      </c>
      <c r="F205" s="8">
        <v>531.98</v>
      </c>
      <c r="G205" s="8">
        <v>531.98</v>
      </c>
      <c r="H205" s="56">
        <v>43100</v>
      </c>
      <c r="I205" s="24">
        <v>531.98</v>
      </c>
      <c r="J205" s="77"/>
      <c r="K205" s="48"/>
    </row>
    <row r="206" spans="1:11" ht="24" x14ac:dyDescent="0.25">
      <c r="A206" s="115">
        <v>190</v>
      </c>
      <c r="B206" s="60" t="s">
        <v>195</v>
      </c>
      <c r="C206" s="10" t="str">
        <f>"4/2015-MUP-416"</f>
        <v>4/2015-MUP-416</v>
      </c>
      <c r="D206" s="56">
        <v>42719</v>
      </c>
      <c r="E206" s="56">
        <v>43084</v>
      </c>
      <c r="F206" s="8">
        <v>647.52</v>
      </c>
      <c r="G206" s="8">
        <v>647.52</v>
      </c>
      <c r="H206" s="56">
        <v>43100</v>
      </c>
      <c r="I206" s="24">
        <v>647.52</v>
      </c>
      <c r="J206" s="77"/>
    </row>
    <row r="207" spans="1:11" ht="24" x14ac:dyDescent="0.25">
      <c r="A207" s="115">
        <v>191</v>
      </c>
      <c r="B207" s="60" t="s">
        <v>195</v>
      </c>
      <c r="C207" s="10" t="str">
        <f>"4/2015-MUP-415"</f>
        <v>4/2015-MUP-415</v>
      </c>
      <c r="D207" s="56">
        <v>42718</v>
      </c>
      <c r="E207" s="56">
        <v>43083</v>
      </c>
      <c r="F207" s="8">
        <v>4579.88</v>
      </c>
      <c r="G207" s="8">
        <v>4579.88</v>
      </c>
      <c r="H207" s="56">
        <v>43100</v>
      </c>
      <c r="I207" s="24">
        <v>4579.88</v>
      </c>
      <c r="J207" s="77"/>
    </row>
    <row r="208" spans="1:11" ht="24" x14ac:dyDescent="0.25">
      <c r="A208" s="115">
        <v>192</v>
      </c>
      <c r="B208" s="60" t="s">
        <v>195</v>
      </c>
      <c r="C208" s="10" t="str">
        <f>"4/2015-MUP-414"</f>
        <v>4/2015-MUP-414</v>
      </c>
      <c r="D208" s="56">
        <v>42717</v>
      </c>
      <c r="E208" s="56">
        <v>43082</v>
      </c>
      <c r="F208" s="8">
        <v>3127.02</v>
      </c>
      <c r="G208" s="8">
        <v>3127.02</v>
      </c>
      <c r="H208" s="56">
        <v>43100</v>
      </c>
      <c r="I208" s="24">
        <v>3127.02</v>
      </c>
      <c r="J208" s="77"/>
      <c r="K208" s="48"/>
    </row>
    <row r="209" spans="1:11" ht="24" x14ac:dyDescent="0.25">
      <c r="A209" s="115">
        <v>193</v>
      </c>
      <c r="B209" s="60" t="s">
        <v>195</v>
      </c>
      <c r="C209" s="10" t="str">
        <f>"4/2015-MUP-413"</f>
        <v>4/2015-MUP-413</v>
      </c>
      <c r="D209" s="56">
        <v>42716</v>
      </c>
      <c r="E209" s="56">
        <v>43081</v>
      </c>
      <c r="F209" s="8">
        <v>372.28</v>
      </c>
      <c r="G209" s="8">
        <v>372.28</v>
      </c>
      <c r="H209" s="56">
        <v>43100</v>
      </c>
      <c r="I209" s="24">
        <v>372.28</v>
      </c>
      <c r="J209" s="77"/>
    </row>
    <row r="210" spans="1:11" ht="24" x14ac:dyDescent="0.25">
      <c r="A210" s="115">
        <v>194</v>
      </c>
      <c r="B210" s="60" t="s">
        <v>195</v>
      </c>
      <c r="C210" s="10" t="str">
        <f>"4/2015-MUP-412"</f>
        <v>4/2015-MUP-412</v>
      </c>
      <c r="D210" s="56">
        <v>42715</v>
      </c>
      <c r="E210" s="56">
        <v>43080</v>
      </c>
      <c r="F210" s="8">
        <v>282.2</v>
      </c>
      <c r="G210" s="8">
        <v>282.2</v>
      </c>
      <c r="H210" s="56">
        <v>43100</v>
      </c>
      <c r="I210" s="24">
        <v>282.2</v>
      </c>
      <c r="J210" s="77"/>
    </row>
    <row r="211" spans="1:11" ht="24" x14ac:dyDescent="0.25">
      <c r="A211" s="115">
        <v>195</v>
      </c>
      <c r="B211" s="60" t="s">
        <v>195</v>
      </c>
      <c r="C211" s="10" t="str">
        <f>"4/2015-MUP-411"</f>
        <v>4/2015-MUP-411</v>
      </c>
      <c r="D211" s="56">
        <v>42714</v>
      </c>
      <c r="E211" s="56">
        <v>43079</v>
      </c>
      <c r="F211" s="8">
        <v>971.1</v>
      </c>
      <c r="G211" s="8">
        <v>971.1</v>
      </c>
      <c r="H211" s="56">
        <v>43100</v>
      </c>
      <c r="I211" s="24">
        <v>971.1</v>
      </c>
      <c r="J211" s="77"/>
      <c r="K211" s="48"/>
    </row>
    <row r="212" spans="1:11" x14ac:dyDescent="0.25">
      <c r="A212" s="115">
        <v>196</v>
      </c>
      <c r="B212" s="60" t="s">
        <v>204</v>
      </c>
      <c r="C212" s="10" t="str">
        <f>"004700000373"</f>
        <v>004700000373</v>
      </c>
      <c r="D212" s="56">
        <v>42692</v>
      </c>
      <c r="E212" s="56">
        <v>43078</v>
      </c>
      <c r="F212" s="8">
        <v>2232.41</v>
      </c>
      <c r="G212" s="8">
        <v>2232.41</v>
      </c>
      <c r="H212" s="56">
        <v>43078</v>
      </c>
      <c r="I212" s="24">
        <v>2232.41</v>
      </c>
      <c r="J212" s="77"/>
    </row>
    <row r="213" spans="1:11" ht="24" x14ac:dyDescent="0.25">
      <c r="A213" s="115">
        <v>197</v>
      </c>
      <c r="B213" s="60" t="s">
        <v>195</v>
      </c>
      <c r="C213" s="10" t="str">
        <f>"4/2015-MUP-410"</f>
        <v>4/2015-MUP-410</v>
      </c>
      <c r="D213" s="56">
        <v>42713</v>
      </c>
      <c r="E213" s="56">
        <v>43078</v>
      </c>
      <c r="F213" s="8">
        <v>1068.07</v>
      </c>
      <c r="G213" s="8">
        <v>1068.07</v>
      </c>
      <c r="H213" s="56">
        <v>43100</v>
      </c>
      <c r="I213" s="24">
        <v>1068.07</v>
      </c>
      <c r="J213" s="77"/>
    </row>
    <row r="214" spans="1:11" x14ac:dyDescent="0.25">
      <c r="A214" s="115">
        <v>198</v>
      </c>
      <c r="B214" s="60" t="s">
        <v>204</v>
      </c>
      <c r="C214" s="10" t="str">
        <f>"017000155175"</f>
        <v>017000155175</v>
      </c>
      <c r="D214" s="56">
        <v>42688</v>
      </c>
      <c r="E214" s="56">
        <v>43078</v>
      </c>
      <c r="F214" s="8">
        <v>290.66000000000003</v>
      </c>
      <c r="G214" s="8">
        <v>290.66000000000003</v>
      </c>
      <c r="H214" s="56">
        <v>43078</v>
      </c>
      <c r="I214" s="24">
        <v>290.66000000000003</v>
      </c>
      <c r="J214" s="77"/>
      <c r="K214" s="48"/>
    </row>
    <row r="215" spans="1:11" ht="24" x14ac:dyDescent="0.25">
      <c r="A215" s="115">
        <v>199</v>
      </c>
      <c r="B215" s="60" t="s">
        <v>195</v>
      </c>
      <c r="C215" s="10" t="str">
        <f>"4/2015-MUP-409"</f>
        <v>4/2015-MUP-409</v>
      </c>
      <c r="D215" s="56">
        <v>42712</v>
      </c>
      <c r="E215" s="56">
        <v>43077</v>
      </c>
      <c r="F215" s="8">
        <v>296.89</v>
      </c>
      <c r="G215" s="8">
        <v>296.89</v>
      </c>
      <c r="H215" s="56">
        <v>43100</v>
      </c>
      <c r="I215" s="24">
        <v>296.89</v>
      </c>
      <c r="J215" s="77"/>
    </row>
    <row r="216" spans="1:11" ht="24" x14ac:dyDescent="0.25">
      <c r="A216" s="115">
        <v>200</v>
      </c>
      <c r="B216" s="60" t="s">
        <v>17</v>
      </c>
      <c r="C216" s="10" t="str">
        <f>"POL 17000155795"</f>
        <v>POL 17000155795</v>
      </c>
      <c r="D216" s="56">
        <v>42712</v>
      </c>
      <c r="E216" s="56">
        <v>43077</v>
      </c>
      <c r="F216" s="8">
        <v>532.6</v>
      </c>
      <c r="G216" s="8">
        <v>612.49</v>
      </c>
      <c r="H216" s="56">
        <v>43077</v>
      </c>
      <c r="I216" s="24">
        <v>612.49</v>
      </c>
      <c r="J216" s="77"/>
    </row>
    <row r="217" spans="1:11" ht="24" x14ac:dyDescent="0.25">
      <c r="A217" s="115">
        <v>201</v>
      </c>
      <c r="B217" s="60" t="s">
        <v>195</v>
      </c>
      <c r="C217" s="10" t="str">
        <f>"4/2015-MUP-408"</f>
        <v>4/2015-MUP-408</v>
      </c>
      <c r="D217" s="56">
        <v>42711</v>
      </c>
      <c r="E217" s="56">
        <v>43076</v>
      </c>
      <c r="F217" s="8">
        <v>238.19</v>
      </c>
      <c r="G217" s="8">
        <v>238.19</v>
      </c>
      <c r="H217" s="56">
        <v>43100</v>
      </c>
      <c r="I217" s="24">
        <v>238.19</v>
      </c>
      <c r="J217" s="77"/>
      <c r="K217" s="48"/>
    </row>
    <row r="218" spans="1:11" ht="24" x14ac:dyDescent="0.25">
      <c r="A218" s="115">
        <v>202</v>
      </c>
      <c r="B218" s="60" t="s">
        <v>17</v>
      </c>
      <c r="C218" s="10" t="str">
        <f>"POL. 004700000407"</f>
        <v>POL. 004700000407</v>
      </c>
      <c r="D218" s="56">
        <v>42711</v>
      </c>
      <c r="E218" s="56">
        <v>43076</v>
      </c>
      <c r="F218" s="8">
        <v>2092.58</v>
      </c>
      <c r="G218" s="8">
        <v>2301.84</v>
      </c>
      <c r="H218" s="56">
        <v>43076</v>
      </c>
      <c r="I218" s="24">
        <v>2092.58</v>
      </c>
      <c r="J218" s="77"/>
    </row>
    <row r="219" spans="1:11" ht="24" x14ac:dyDescent="0.25">
      <c r="A219" s="115">
        <v>203</v>
      </c>
      <c r="B219" s="60" t="s">
        <v>17</v>
      </c>
      <c r="C219" s="10" t="str">
        <f>"POL. 004700000406"</f>
        <v>POL. 004700000406</v>
      </c>
      <c r="D219" s="56">
        <v>42711</v>
      </c>
      <c r="E219" s="56">
        <v>43076</v>
      </c>
      <c r="F219" s="8">
        <v>2092.58</v>
      </c>
      <c r="G219" s="8">
        <v>2301.84</v>
      </c>
      <c r="H219" s="56">
        <v>43076</v>
      </c>
      <c r="I219" s="24">
        <v>2092.58</v>
      </c>
      <c r="J219" s="77"/>
    </row>
    <row r="220" spans="1:11" ht="24" x14ac:dyDescent="0.25">
      <c r="A220" s="115">
        <v>204</v>
      </c>
      <c r="B220" s="60" t="s">
        <v>17</v>
      </c>
      <c r="C220" s="10" t="str">
        <f>"POL. 004700000408"</f>
        <v>POL. 004700000408</v>
      </c>
      <c r="D220" s="56">
        <v>42711</v>
      </c>
      <c r="E220" s="56">
        <v>43076</v>
      </c>
      <c r="F220" s="8">
        <v>2092.58</v>
      </c>
      <c r="G220" s="8">
        <v>2301.84</v>
      </c>
      <c r="H220" s="56">
        <v>43076</v>
      </c>
      <c r="I220" s="24">
        <v>2301.84</v>
      </c>
      <c r="J220" s="77"/>
      <c r="K220" s="48"/>
    </row>
    <row r="221" spans="1:11" ht="24" x14ac:dyDescent="0.25">
      <c r="A221" s="115">
        <v>205</v>
      </c>
      <c r="B221" s="60" t="s">
        <v>17</v>
      </c>
      <c r="C221" s="10" t="str">
        <f>"POL 17000155779"</f>
        <v>POL 17000155779</v>
      </c>
      <c r="D221" s="56">
        <v>42710</v>
      </c>
      <c r="E221" s="56">
        <v>43075</v>
      </c>
      <c r="F221" s="8">
        <v>299.91000000000003</v>
      </c>
      <c r="G221" s="8">
        <v>343.25</v>
      </c>
      <c r="H221" s="56">
        <v>43075</v>
      </c>
      <c r="I221" s="24">
        <v>299.91000000000003</v>
      </c>
      <c r="J221" s="77"/>
    </row>
    <row r="222" spans="1:11" ht="24" x14ac:dyDescent="0.25">
      <c r="A222" s="115">
        <v>206</v>
      </c>
      <c r="B222" s="60" t="s">
        <v>194</v>
      </c>
      <c r="C222" s="10" t="str">
        <f>"645/16"</f>
        <v>645/16</v>
      </c>
      <c r="D222" s="56">
        <v>42710</v>
      </c>
      <c r="E222" s="56">
        <v>42740</v>
      </c>
      <c r="F222" s="8">
        <v>2388.54</v>
      </c>
      <c r="G222" s="8">
        <v>2985.68</v>
      </c>
      <c r="H222" s="56">
        <v>42735</v>
      </c>
      <c r="I222" s="24">
        <v>2388.54</v>
      </c>
      <c r="J222" s="77"/>
    </row>
    <row r="223" spans="1:11" ht="24" x14ac:dyDescent="0.25">
      <c r="A223" s="115">
        <v>207</v>
      </c>
      <c r="B223" s="60" t="s">
        <v>195</v>
      </c>
      <c r="C223" s="10" t="str">
        <f>"4/2015-MUP-407"</f>
        <v>4/2015-MUP-407</v>
      </c>
      <c r="D223" s="56">
        <v>42710</v>
      </c>
      <c r="E223" s="56">
        <v>43075</v>
      </c>
      <c r="F223" s="8">
        <v>1745.43</v>
      </c>
      <c r="G223" s="8">
        <v>1745.43</v>
      </c>
      <c r="H223" s="56">
        <v>43100</v>
      </c>
      <c r="I223" s="24">
        <v>1745.43</v>
      </c>
      <c r="J223" s="77"/>
      <c r="K223" s="48"/>
    </row>
    <row r="224" spans="1:11" ht="24" x14ac:dyDescent="0.25">
      <c r="A224" s="115">
        <v>208</v>
      </c>
      <c r="B224" s="60" t="s">
        <v>195</v>
      </c>
      <c r="C224" s="10" t="str">
        <f>"4/2015-MUP-406"</f>
        <v>4/2015-MUP-406</v>
      </c>
      <c r="D224" s="56">
        <v>42709</v>
      </c>
      <c r="E224" s="56">
        <v>43074</v>
      </c>
      <c r="F224" s="8">
        <v>510.44</v>
      </c>
      <c r="G224" s="8">
        <v>510.44</v>
      </c>
      <c r="H224" s="56">
        <v>43074</v>
      </c>
      <c r="I224" s="24">
        <v>510.44</v>
      </c>
      <c r="J224" s="77"/>
    </row>
    <row r="225" spans="1:11" ht="36" x14ac:dyDescent="0.25">
      <c r="A225" s="115">
        <v>209</v>
      </c>
      <c r="B225" s="60" t="s">
        <v>189</v>
      </c>
      <c r="C225" s="10" t="str">
        <f>"657/2016"</f>
        <v>657/2016</v>
      </c>
      <c r="D225" s="56">
        <v>42709</v>
      </c>
      <c r="E225" s="56">
        <v>42740</v>
      </c>
      <c r="F225" s="8">
        <v>4513.75</v>
      </c>
      <c r="G225" s="8">
        <v>4513.75</v>
      </c>
      <c r="H225" s="56">
        <v>42740</v>
      </c>
      <c r="I225" s="24">
        <v>4513.75</v>
      </c>
      <c r="J225" s="77"/>
    </row>
    <row r="226" spans="1:11" ht="24" x14ac:dyDescent="0.25">
      <c r="A226" s="115">
        <v>210</v>
      </c>
      <c r="B226" s="60" t="s">
        <v>195</v>
      </c>
      <c r="C226" s="10" t="str">
        <f>"4/2015-MUP-405"</f>
        <v>4/2015-MUP-405</v>
      </c>
      <c r="D226" s="56">
        <v>42708</v>
      </c>
      <c r="E226" s="56">
        <v>43073</v>
      </c>
      <c r="F226" s="8">
        <v>304.43</v>
      </c>
      <c r="G226" s="8">
        <v>304.43</v>
      </c>
      <c r="H226" s="56">
        <v>43100</v>
      </c>
      <c r="I226" s="24">
        <v>304.43</v>
      </c>
      <c r="J226" s="77"/>
      <c r="K226" s="48"/>
    </row>
    <row r="227" spans="1:11" ht="24" x14ac:dyDescent="0.25">
      <c r="A227" s="115">
        <v>211</v>
      </c>
      <c r="B227" s="60" t="s">
        <v>195</v>
      </c>
      <c r="C227" s="10" t="str">
        <f>"4/2015-MUP-404"</f>
        <v>4/2015-MUP-404</v>
      </c>
      <c r="D227" s="56">
        <v>42707</v>
      </c>
      <c r="E227" s="56">
        <v>43072</v>
      </c>
      <c r="F227" s="8">
        <v>32.49</v>
      </c>
      <c r="G227" s="8">
        <v>32.49</v>
      </c>
      <c r="H227" s="56">
        <v>43100</v>
      </c>
      <c r="I227" s="24">
        <v>32.49</v>
      </c>
      <c r="J227" s="77"/>
    </row>
    <row r="228" spans="1:11" ht="24" x14ac:dyDescent="0.25">
      <c r="A228" s="115">
        <v>212</v>
      </c>
      <c r="B228" s="60" t="s">
        <v>195</v>
      </c>
      <c r="C228" s="10" t="str">
        <f>"4/2015-MUP-403"</f>
        <v>4/2015-MUP-403</v>
      </c>
      <c r="D228" s="56">
        <v>42706</v>
      </c>
      <c r="E228" s="56">
        <v>43071</v>
      </c>
      <c r="F228" s="8">
        <v>3879.55</v>
      </c>
      <c r="G228" s="8">
        <v>3879.55</v>
      </c>
      <c r="H228" s="56">
        <v>43100</v>
      </c>
      <c r="I228" s="24">
        <v>3879.55</v>
      </c>
      <c r="J228" s="77"/>
    </row>
    <row r="229" spans="1:11" ht="24" x14ac:dyDescent="0.25">
      <c r="A229" s="115">
        <v>213</v>
      </c>
      <c r="B229" s="60" t="s">
        <v>195</v>
      </c>
      <c r="C229" s="10" t="str">
        <f>"4/2015-MUP-429"</f>
        <v>4/2015-MUP-429</v>
      </c>
      <c r="D229" s="56">
        <v>42705</v>
      </c>
      <c r="E229" s="56">
        <v>43100</v>
      </c>
      <c r="F229" s="8">
        <v>35699.629999999997</v>
      </c>
      <c r="G229" s="8">
        <v>35699.629999999997</v>
      </c>
      <c r="H229" s="56">
        <v>43100</v>
      </c>
      <c r="I229" s="24">
        <v>35669.629999999997</v>
      </c>
      <c r="J229" s="77"/>
      <c r="K229" s="48"/>
    </row>
    <row r="230" spans="1:11" ht="24" x14ac:dyDescent="0.25">
      <c r="A230" s="115">
        <v>214</v>
      </c>
      <c r="B230" s="60" t="s">
        <v>195</v>
      </c>
      <c r="C230" s="10" t="str">
        <f>"4/2015-MUP-401"</f>
        <v>4/2015-MUP-401</v>
      </c>
      <c r="D230" s="56">
        <v>42704</v>
      </c>
      <c r="E230" s="56">
        <v>43069</v>
      </c>
      <c r="F230" s="8">
        <v>1317.54</v>
      </c>
      <c r="G230" s="8">
        <v>1317.54</v>
      </c>
      <c r="H230" s="56">
        <v>43069</v>
      </c>
      <c r="I230" s="24">
        <v>1317.54</v>
      </c>
      <c r="J230" s="77"/>
    </row>
    <row r="231" spans="1:11" ht="24" x14ac:dyDescent="0.25">
      <c r="A231" s="115">
        <v>215</v>
      </c>
      <c r="B231" s="60" t="s">
        <v>195</v>
      </c>
      <c r="C231" s="10" t="str">
        <f>"4/2015-MUP-400"</f>
        <v>4/2015-MUP-400</v>
      </c>
      <c r="D231" s="56">
        <v>42703</v>
      </c>
      <c r="E231" s="56">
        <v>43068</v>
      </c>
      <c r="F231" s="8">
        <v>2769.03</v>
      </c>
      <c r="G231" s="8">
        <v>2769.03</v>
      </c>
      <c r="H231" s="56">
        <v>43100</v>
      </c>
      <c r="I231" s="24">
        <v>2769.03</v>
      </c>
      <c r="J231" s="77"/>
    </row>
    <row r="232" spans="1:11" ht="24" x14ac:dyDescent="0.25">
      <c r="A232" s="115">
        <v>216</v>
      </c>
      <c r="B232" s="60" t="s">
        <v>195</v>
      </c>
      <c r="C232" s="10" t="str">
        <f>"4/2015-MUP-399"</f>
        <v>4/2015-MUP-399</v>
      </c>
      <c r="D232" s="56">
        <v>42702</v>
      </c>
      <c r="E232" s="56">
        <v>43067</v>
      </c>
      <c r="F232" s="8">
        <v>906.32</v>
      </c>
      <c r="G232" s="8">
        <v>906.32</v>
      </c>
      <c r="H232" s="56">
        <v>43100</v>
      </c>
      <c r="I232" s="24">
        <v>906.32</v>
      </c>
      <c r="J232" s="77"/>
      <c r="K232" s="48"/>
    </row>
    <row r="233" spans="1:11" x14ac:dyDescent="0.25">
      <c r="A233" s="115">
        <v>217</v>
      </c>
      <c r="B233" s="60" t="s">
        <v>210</v>
      </c>
      <c r="C233" s="10" t="str">
        <f>"4/2015-PU-41"</f>
        <v>4/2015-PU-41</v>
      </c>
      <c r="D233" s="56">
        <v>42701</v>
      </c>
      <c r="E233" s="56">
        <v>43066</v>
      </c>
      <c r="F233" s="8">
        <v>122.29</v>
      </c>
      <c r="G233" s="8">
        <v>122.29</v>
      </c>
      <c r="H233" s="56">
        <v>43066</v>
      </c>
      <c r="I233" s="24">
        <v>122.29</v>
      </c>
      <c r="J233" s="77"/>
    </row>
    <row r="234" spans="1:11" ht="24" x14ac:dyDescent="0.25">
      <c r="A234" s="115">
        <v>218</v>
      </c>
      <c r="B234" s="60" t="s">
        <v>195</v>
      </c>
      <c r="C234" s="10" t="str">
        <f>"4/2015-MUP-398"</f>
        <v>4/2015-MUP-398</v>
      </c>
      <c r="D234" s="56">
        <v>42700</v>
      </c>
      <c r="E234" s="56">
        <v>43065</v>
      </c>
      <c r="F234" s="8">
        <v>1514.81</v>
      </c>
      <c r="G234" s="8">
        <v>1514.81</v>
      </c>
      <c r="H234" s="56">
        <v>43100</v>
      </c>
      <c r="I234" s="24">
        <v>1514.81</v>
      </c>
      <c r="J234" s="77"/>
    </row>
    <row r="235" spans="1:11" ht="24" x14ac:dyDescent="0.25">
      <c r="A235" s="115">
        <v>219</v>
      </c>
      <c r="B235" s="60" t="s">
        <v>195</v>
      </c>
      <c r="C235" s="10" t="str">
        <f>"4/2015-MUP-397"</f>
        <v>4/2015-MUP-397</v>
      </c>
      <c r="D235" s="56">
        <v>42699</v>
      </c>
      <c r="E235" s="56">
        <v>43064</v>
      </c>
      <c r="F235" s="8">
        <v>4195.82</v>
      </c>
      <c r="G235" s="8">
        <v>4195.82</v>
      </c>
      <c r="H235" s="56">
        <v>43100</v>
      </c>
      <c r="I235" s="24">
        <v>4195.82</v>
      </c>
      <c r="J235" s="77"/>
      <c r="K235" s="48"/>
    </row>
    <row r="236" spans="1:11" ht="24" x14ac:dyDescent="0.25">
      <c r="A236" s="115">
        <v>220</v>
      </c>
      <c r="B236" s="60" t="s">
        <v>195</v>
      </c>
      <c r="C236" s="10" t="str">
        <f>"4/2015-MUP-396"</f>
        <v>4/2015-MUP-396</v>
      </c>
      <c r="D236" s="56">
        <v>42698</v>
      </c>
      <c r="E236" s="56">
        <v>43063</v>
      </c>
      <c r="F236" s="8">
        <v>216.5</v>
      </c>
      <c r="G236" s="8">
        <v>216.5</v>
      </c>
      <c r="H236" s="56">
        <v>43100</v>
      </c>
      <c r="I236" s="24">
        <v>216.5</v>
      </c>
      <c r="J236" s="77"/>
    </row>
    <row r="237" spans="1:11" ht="24" x14ac:dyDescent="0.25">
      <c r="A237" s="115">
        <v>221</v>
      </c>
      <c r="B237" s="60" t="s">
        <v>195</v>
      </c>
      <c r="C237" s="10" t="str">
        <f>"4/2015-MUP-395"</f>
        <v>4/2015-MUP-395</v>
      </c>
      <c r="D237" s="56">
        <v>42697</v>
      </c>
      <c r="E237" s="56">
        <v>43062</v>
      </c>
      <c r="F237" s="8">
        <v>322.58</v>
      </c>
      <c r="G237" s="8">
        <v>322.58</v>
      </c>
      <c r="H237" s="56">
        <v>43100</v>
      </c>
      <c r="I237" s="24">
        <v>322.58</v>
      </c>
      <c r="J237" s="77"/>
    </row>
    <row r="238" spans="1:11" ht="24" x14ac:dyDescent="0.25">
      <c r="A238" s="115">
        <v>222</v>
      </c>
      <c r="B238" s="60" t="s">
        <v>17</v>
      </c>
      <c r="C238" s="10" t="str">
        <f>"POL 17000128038"</f>
        <v>POL 17000128038</v>
      </c>
      <c r="D238" s="56">
        <v>42697</v>
      </c>
      <c r="E238" s="56">
        <v>43062</v>
      </c>
      <c r="F238" s="8">
        <v>433.38</v>
      </c>
      <c r="G238" s="8">
        <v>498.39</v>
      </c>
      <c r="H238" s="56">
        <v>43062</v>
      </c>
      <c r="I238" s="24">
        <v>433.38</v>
      </c>
      <c r="J238" s="77"/>
      <c r="K238" s="48"/>
    </row>
    <row r="239" spans="1:11" ht="24" x14ac:dyDescent="0.25">
      <c r="A239" s="115">
        <v>223</v>
      </c>
      <c r="B239" s="60" t="s">
        <v>195</v>
      </c>
      <c r="C239" s="10" t="str">
        <f>"4/2015-MUP-394"</f>
        <v>4/2015-MUP-394</v>
      </c>
      <c r="D239" s="56">
        <v>42696</v>
      </c>
      <c r="E239" s="56">
        <v>43061</v>
      </c>
      <c r="F239" s="8">
        <v>2290.7399999999998</v>
      </c>
      <c r="G239" s="8">
        <v>2290.7399999999998</v>
      </c>
      <c r="H239" s="56">
        <v>43100</v>
      </c>
      <c r="I239" s="24">
        <v>2290.7399999999998</v>
      </c>
      <c r="J239" s="77"/>
    </row>
    <row r="240" spans="1:11" ht="24" x14ac:dyDescent="0.25">
      <c r="A240" s="115">
        <v>224</v>
      </c>
      <c r="B240" s="60" t="s">
        <v>195</v>
      </c>
      <c r="C240" s="10" t="str">
        <f>"4/2015-MUP-393"</f>
        <v>4/2015-MUP-393</v>
      </c>
      <c r="D240" s="56">
        <v>42695</v>
      </c>
      <c r="E240" s="56">
        <v>43060</v>
      </c>
      <c r="F240" s="8">
        <v>936.54</v>
      </c>
      <c r="G240" s="8">
        <v>936.54</v>
      </c>
      <c r="H240" s="56">
        <v>43100</v>
      </c>
      <c r="I240" s="24">
        <v>936.54</v>
      </c>
      <c r="J240" s="77"/>
    </row>
    <row r="241" spans="1:11" ht="36" x14ac:dyDescent="0.25">
      <c r="A241" s="115">
        <v>225</v>
      </c>
      <c r="B241" s="60" t="s">
        <v>188</v>
      </c>
      <c r="C241" s="10" t="str">
        <f>"BROJ 004700000372"</f>
        <v>BROJ 004700000372</v>
      </c>
      <c r="D241" s="56">
        <v>42688</v>
      </c>
      <c r="E241" s="56">
        <v>43059</v>
      </c>
      <c r="F241" s="8">
        <v>2607.81</v>
      </c>
      <c r="G241" s="8">
        <v>2607.81</v>
      </c>
      <c r="H241" s="56">
        <v>43008</v>
      </c>
      <c r="I241" s="24">
        <v>2607.81</v>
      </c>
      <c r="J241" s="77"/>
      <c r="K241" s="48"/>
    </row>
    <row r="242" spans="1:11" ht="36" x14ac:dyDescent="0.25">
      <c r="A242" s="115">
        <v>226</v>
      </c>
      <c r="B242" s="60" t="s">
        <v>188</v>
      </c>
      <c r="C242" s="10" t="str">
        <f>"BROJ 017000155060"</f>
        <v>BROJ 017000155060</v>
      </c>
      <c r="D242" s="56">
        <v>42688</v>
      </c>
      <c r="E242" s="56">
        <v>43059</v>
      </c>
      <c r="F242" s="8">
        <v>494.13</v>
      </c>
      <c r="G242" s="8">
        <v>494.13</v>
      </c>
      <c r="H242" s="56">
        <v>43008</v>
      </c>
      <c r="I242" s="24">
        <v>494.13</v>
      </c>
      <c r="J242" s="77"/>
    </row>
    <row r="243" spans="1:11" x14ac:dyDescent="0.25">
      <c r="A243" s="115">
        <v>227</v>
      </c>
      <c r="B243" s="60" t="s">
        <v>204</v>
      </c>
      <c r="C243" s="10" t="str">
        <f>"004700000351"</f>
        <v>004700000351</v>
      </c>
      <c r="D243" s="56">
        <v>42664</v>
      </c>
      <c r="E243" s="56">
        <v>43059</v>
      </c>
      <c r="F243" s="8">
        <v>3294.12</v>
      </c>
      <c r="G243" s="8">
        <v>3294.12</v>
      </c>
      <c r="H243" s="56">
        <v>43059</v>
      </c>
      <c r="I243" s="24">
        <v>3294.12</v>
      </c>
      <c r="J243" s="77"/>
    </row>
    <row r="244" spans="1:11" ht="24" x14ac:dyDescent="0.25">
      <c r="A244" s="115">
        <v>228</v>
      </c>
      <c r="B244" s="60" t="s">
        <v>195</v>
      </c>
      <c r="C244" s="10" t="str">
        <f>"4/2015-MUP-392"</f>
        <v>4/2015-MUP-392</v>
      </c>
      <c r="D244" s="56">
        <v>42694</v>
      </c>
      <c r="E244" s="56">
        <v>43059</v>
      </c>
      <c r="F244" s="8">
        <v>73.62</v>
      </c>
      <c r="G244" s="8">
        <v>73.62</v>
      </c>
      <c r="H244" s="56">
        <v>43100</v>
      </c>
      <c r="I244" s="24">
        <v>73.62</v>
      </c>
      <c r="J244" s="77"/>
      <c r="K244" s="48"/>
    </row>
    <row r="245" spans="1:11" ht="24" x14ac:dyDescent="0.25">
      <c r="A245" s="115">
        <v>229</v>
      </c>
      <c r="B245" s="60" t="s">
        <v>195</v>
      </c>
      <c r="C245" s="10" t="str">
        <f>"4/2015-MUP-391"</f>
        <v>4/2015-MUP-391</v>
      </c>
      <c r="D245" s="56">
        <v>42693</v>
      </c>
      <c r="E245" s="56">
        <v>43058</v>
      </c>
      <c r="F245" s="8">
        <v>1870.68</v>
      </c>
      <c r="G245" s="8">
        <v>1870.68</v>
      </c>
      <c r="H245" s="56">
        <v>43100</v>
      </c>
      <c r="I245" s="24">
        <v>1870.68</v>
      </c>
      <c r="J245" s="77"/>
    </row>
    <row r="246" spans="1:11" ht="24" x14ac:dyDescent="0.25">
      <c r="A246" s="115">
        <v>230</v>
      </c>
      <c r="B246" s="60" t="s">
        <v>195</v>
      </c>
      <c r="C246" s="10" t="str">
        <f>"4/2015-MUP-390"</f>
        <v>4/2015-MUP-390</v>
      </c>
      <c r="D246" s="56">
        <v>42692</v>
      </c>
      <c r="E246" s="56">
        <v>43057</v>
      </c>
      <c r="F246" s="8">
        <v>999</v>
      </c>
      <c r="G246" s="8">
        <v>999</v>
      </c>
      <c r="H246" s="56">
        <v>43100</v>
      </c>
      <c r="I246" s="24">
        <v>999</v>
      </c>
      <c r="J246" s="77"/>
    </row>
    <row r="247" spans="1:11" x14ac:dyDescent="0.25">
      <c r="A247" s="115">
        <v>231</v>
      </c>
      <c r="B247" s="60" t="s">
        <v>210</v>
      </c>
      <c r="C247" s="10" t="str">
        <f>"4/2015-PU-43"</f>
        <v>4/2015-PU-43</v>
      </c>
      <c r="D247" s="56">
        <v>42692</v>
      </c>
      <c r="E247" s="56">
        <v>43057</v>
      </c>
      <c r="F247" s="8">
        <v>163.69</v>
      </c>
      <c r="G247" s="8">
        <v>163.69</v>
      </c>
      <c r="H247" s="56">
        <v>43057</v>
      </c>
      <c r="I247" s="24">
        <v>163.69</v>
      </c>
      <c r="J247" s="77"/>
      <c r="K247" s="48"/>
    </row>
    <row r="248" spans="1:11" ht="24" x14ac:dyDescent="0.25">
      <c r="A248" s="115">
        <v>232</v>
      </c>
      <c r="B248" s="60" t="s">
        <v>195</v>
      </c>
      <c r="C248" s="10" t="str">
        <f>"4/2015-MUP-389"</f>
        <v>4/2015-MUP-389</v>
      </c>
      <c r="D248" s="56">
        <v>42691</v>
      </c>
      <c r="E248" s="56">
        <v>43056</v>
      </c>
      <c r="F248" s="8">
        <v>1378.02</v>
      </c>
      <c r="G248" s="8">
        <v>1378.02</v>
      </c>
      <c r="H248" s="56">
        <v>43100</v>
      </c>
      <c r="I248" s="24">
        <v>1378.02</v>
      </c>
      <c r="J248" s="77"/>
    </row>
    <row r="249" spans="1:11" ht="24" x14ac:dyDescent="0.25">
      <c r="A249" s="115">
        <v>233</v>
      </c>
      <c r="B249" s="60" t="s">
        <v>195</v>
      </c>
      <c r="C249" s="10" t="str">
        <f>"4/2015-MUP-387"</f>
        <v>4/2015-MUP-387</v>
      </c>
      <c r="D249" s="56">
        <v>42690</v>
      </c>
      <c r="E249" s="56">
        <v>43055</v>
      </c>
      <c r="F249" s="8">
        <v>1930.7</v>
      </c>
      <c r="G249" s="8">
        <v>1930.7</v>
      </c>
      <c r="H249" s="56">
        <v>43100</v>
      </c>
      <c r="I249" s="24">
        <v>1930.7</v>
      </c>
      <c r="J249" s="77"/>
    </row>
    <row r="250" spans="1:11" ht="24" x14ac:dyDescent="0.25">
      <c r="A250" s="115">
        <v>234</v>
      </c>
      <c r="B250" s="60" t="s">
        <v>195</v>
      </c>
      <c r="C250" s="10" t="str">
        <f>"4/2015-MUP-386"</f>
        <v>4/2015-MUP-386</v>
      </c>
      <c r="D250" s="56">
        <v>42689</v>
      </c>
      <c r="E250" s="56">
        <v>43054</v>
      </c>
      <c r="F250" s="8">
        <v>231.84</v>
      </c>
      <c r="G250" s="8">
        <v>231.84</v>
      </c>
      <c r="H250" s="56">
        <v>43100</v>
      </c>
      <c r="I250" s="24">
        <v>231.84</v>
      </c>
      <c r="J250" s="77"/>
      <c r="K250" s="48"/>
    </row>
    <row r="251" spans="1:11" x14ac:dyDescent="0.25">
      <c r="A251" s="115">
        <v>235</v>
      </c>
      <c r="B251" s="60" t="s">
        <v>210</v>
      </c>
      <c r="C251" s="10" t="str">
        <f>"4/2015-PU42"</f>
        <v>4/2015-PU42</v>
      </c>
      <c r="D251" s="56">
        <v>42689</v>
      </c>
      <c r="E251" s="56">
        <v>43054</v>
      </c>
      <c r="F251" s="8">
        <v>201.6</v>
      </c>
      <c r="G251" s="8">
        <v>201.6</v>
      </c>
      <c r="H251" s="56">
        <v>43054</v>
      </c>
      <c r="I251" s="24">
        <v>201.6</v>
      </c>
      <c r="J251" s="77"/>
    </row>
    <row r="252" spans="1:11" ht="24" x14ac:dyDescent="0.25">
      <c r="A252" s="115">
        <v>236</v>
      </c>
      <c r="B252" s="60" t="s">
        <v>195</v>
      </c>
      <c r="C252" s="10" t="str">
        <f>"4/2015-MUP-385"</f>
        <v>4/2015-MUP-385</v>
      </c>
      <c r="D252" s="56">
        <v>42687</v>
      </c>
      <c r="E252" s="56">
        <v>43052</v>
      </c>
      <c r="F252" s="8">
        <v>802.58</v>
      </c>
      <c r="G252" s="8">
        <v>802.58</v>
      </c>
      <c r="H252" s="56">
        <v>43100</v>
      </c>
      <c r="I252" s="24">
        <v>802.58</v>
      </c>
      <c r="J252" s="77"/>
    </row>
    <row r="253" spans="1:11" ht="24" x14ac:dyDescent="0.25">
      <c r="A253" s="115">
        <v>237</v>
      </c>
      <c r="B253" s="60" t="s">
        <v>17</v>
      </c>
      <c r="C253" s="10" t="str">
        <f>"POL 17000128020"</f>
        <v>POL 17000128020</v>
      </c>
      <c r="D253" s="56">
        <v>42687</v>
      </c>
      <c r="E253" s="56">
        <v>43052</v>
      </c>
      <c r="F253" s="8">
        <v>375.6</v>
      </c>
      <c r="G253" s="8">
        <v>431.94</v>
      </c>
      <c r="H253" s="56">
        <v>43052</v>
      </c>
      <c r="I253" s="24">
        <v>375.6</v>
      </c>
      <c r="J253" s="77"/>
      <c r="K253" s="48"/>
    </row>
    <row r="254" spans="1:11" ht="24" x14ac:dyDescent="0.25">
      <c r="A254" s="115">
        <v>238</v>
      </c>
      <c r="B254" s="60" t="s">
        <v>195</v>
      </c>
      <c r="C254" s="10" t="str">
        <f>"4/2015-MUP-384"</f>
        <v>4/2015-MUP-384</v>
      </c>
      <c r="D254" s="56">
        <v>42686</v>
      </c>
      <c r="E254" s="56">
        <v>43051</v>
      </c>
      <c r="F254" s="8">
        <v>2190.61</v>
      </c>
      <c r="G254" s="8">
        <v>2190.61</v>
      </c>
      <c r="H254" s="56">
        <v>43051</v>
      </c>
      <c r="I254" s="24">
        <v>2190.61</v>
      </c>
      <c r="J254" s="77"/>
    </row>
    <row r="255" spans="1:11" ht="24" x14ac:dyDescent="0.25">
      <c r="A255" s="115">
        <v>239</v>
      </c>
      <c r="B255" s="60" t="s">
        <v>210</v>
      </c>
      <c r="C255" s="10" t="str">
        <f>"4/2015 - PU - 39"</f>
        <v>4/2015 - PU - 39</v>
      </c>
      <c r="D255" s="56">
        <v>42685</v>
      </c>
      <c r="E255" s="56">
        <v>43050</v>
      </c>
      <c r="F255" s="8">
        <v>163.69</v>
      </c>
      <c r="G255" s="8">
        <v>163.69</v>
      </c>
      <c r="H255" s="56">
        <v>43050</v>
      </c>
      <c r="I255" s="24">
        <v>163.69</v>
      </c>
      <c r="J255" s="77"/>
    </row>
    <row r="256" spans="1:11" x14ac:dyDescent="0.25">
      <c r="A256" s="115">
        <v>240</v>
      </c>
      <c r="B256" s="60" t="s">
        <v>204</v>
      </c>
      <c r="C256" s="10" t="str">
        <f>"017000127864"</f>
        <v>017000127864</v>
      </c>
      <c r="D256" s="56">
        <v>42661</v>
      </c>
      <c r="E256" s="56">
        <v>43050</v>
      </c>
      <c r="F256" s="8">
        <v>340.27</v>
      </c>
      <c r="G256" s="8">
        <v>340.27</v>
      </c>
      <c r="H256" s="56">
        <v>43050</v>
      </c>
      <c r="I256" s="24">
        <v>340.27</v>
      </c>
      <c r="J256" s="77"/>
      <c r="K256" s="48"/>
    </row>
    <row r="257" spans="1:11" ht="24" x14ac:dyDescent="0.25">
      <c r="A257" s="115">
        <v>241</v>
      </c>
      <c r="B257" s="60" t="s">
        <v>195</v>
      </c>
      <c r="C257" s="10" t="str">
        <f>"4/2015-MUP-382"</f>
        <v>4/2015-MUP-382</v>
      </c>
      <c r="D257" s="56">
        <v>42684</v>
      </c>
      <c r="E257" s="56">
        <v>43049</v>
      </c>
      <c r="F257" s="8">
        <v>560.77</v>
      </c>
      <c r="G257" s="8">
        <v>560.77</v>
      </c>
      <c r="H257" s="56">
        <v>43100</v>
      </c>
      <c r="I257" s="24">
        <v>560.77</v>
      </c>
      <c r="J257" s="77"/>
    </row>
    <row r="258" spans="1:11" ht="24" x14ac:dyDescent="0.25">
      <c r="A258" s="115">
        <v>242</v>
      </c>
      <c r="B258" s="60" t="s">
        <v>195</v>
      </c>
      <c r="C258" s="10" t="str">
        <f>"4/2015-MUP-381"</f>
        <v>4/2015-MUP-381</v>
      </c>
      <c r="D258" s="56">
        <v>42683</v>
      </c>
      <c r="E258" s="56">
        <v>43048</v>
      </c>
      <c r="F258" s="8">
        <v>1087.08</v>
      </c>
      <c r="G258" s="8">
        <v>1087.08</v>
      </c>
      <c r="H258" s="56">
        <v>43100</v>
      </c>
      <c r="I258" s="24">
        <v>1087.08</v>
      </c>
      <c r="J258" s="77"/>
    </row>
    <row r="259" spans="1:11" ht="24" x14ac:dyDescent="0.25">
      <c r="A259" s="115">
        <v>243</v>
      </c>
      <c r="B259" s="60" t="s">
        <v>195</v>
      </c>
      <c r="C259" s="10" t="str">
        <f>"4/2015-MUP-380"</f>
        <v>4/2015-MUP-380</v>
      </c>
      <c r="D259" s="56">
        <v>42682</v>
      </c>
      <c r="E259" s="56">
        <v>43047</v>
      </c>
      <c r="F259" s="8">
        <v>466.63</v>
      </c>
      <c r="G259" s="8">
        <v>466.63</v>
      </c>
      <c r="H259" s="56">
        <v>43100</v>
      </c>
      <c r="I259" s="24">
        <v>466.63</v>
      </c>
      <c r="J259" s="77"/>
      <c r="K259" s="48"/>
    </row>
    <row r="260" spans="1:11" ht="24" x14ac:dyDescent="0.25">
      <c r="A260" s="115">
        <v>244</v>
      </c>
      <c r="B260" s="60" t="s">
        <v>195</v>
      </c>
      <c r="C260" s="10" t="str">
        <f>"4/2015-MUP-379"</f>
        <v>4/2015-MUP-379</v>
      </c>
      <c r="D260" s="56">
        <v>42681</v>
      </c>
      <c r="E260" s="56">
        <v>43046</v>
      </c>
      <c r="F260" s="8">
        <v>704.58</v>
      </c>
      <c r="G260" s="8">
        <v>704.58</v>
      </c>
      <c r="H260" s="56">
        <v>43100</v>
      </c>
      <c r="I260" s="24">
        <v>704.58</v>
      </c>
      <c r="J260" s="77"/>
    </row>
    <row r="261" spans="1:11" ht="24" x14ac:dyDescent="0.25">
      <c r="A261" s="115">
        <v>245</v>
      </c>
      <c r="B261" s="60" t="s">
        <v>195</v>
      </c>
      <c r="C261" s="10" t="str">
        <f>"4/2015-MUP-378"</f>
        <v>4/2015-MUP-378</v>
      </c>
      <c r="D261" s="56">
        <v>42680</v>
      </c>
      <c r="E261" s="56">
        <v>43045</v>
      </c>
      <c r="F261" s="8">
        <v>610.05999999999995</v>
      </c>
      <c r="G261" s="8">
        <v>610.05999999999995</v>
      </c>
      <c r="H261" s="56">
        <v>43100</v>
      </c>
      <c r="I261" s="24">
        <v>610.05999999999995</v>
      </c>
      <c r="J261" s="77"/>
    </row>
    <row r="262" spans="1:11" x14ac:dyDescent="0.25">
      <c r="A262" s="115">
        <v>246</v>
      </c>
      <c r="B262" s="60" t="s">
        <v>186</v>
      </c>
      <c r="C262" s="10" t="str">
        <f>"017000128631"</f>
        <v>017000128631</v>
      </c>
      <c r="D262" s="56">
        <v>42680</v>
      </c>
      <c r="E262" s="56">
        <v>43045</v>
      </c>
      <c r="F262" s="8">
        <v>191.31</v>
      </c>
      <c r="G262" s="8">
        <v>220.01</v>
      </c>
      <c r="H262" s="56">
        <v>42882</v>
      </c>
      <c r="I262" s="24">
        <v>191.31</v>
      </c>
      <c r="J262" s="77"/>
      <c r="K262" s="48"/>
    </row>
    <row r="263" spans="1:11" ht="24" x14ac:dyDescent="0.25">
      <c r="A263" s="115">
        <v>247</v>
      </c>
      <c r="B263" s="60" t="s">
        <v>210</v>
      </c>
      <c r="C263" s="10" t="str">
        <f>"4/2015 - PU - 40"</f>
        <v>4/2015 - PU - 40</v>
      </c>
      <c r="D263" s="56">
        <v>42680</v>
      </c>
      <c r="E263" s="56">
        <v>43045</v>
      </c>
      <c r="F263" s="8">
        <v>444.24</v>
      </c>
      <c r="G263" s="8">
        <v>444.24</v>
      </c>
      <c r="H263" s="56">
        <v>43045</v>
      </c>
      <c r="I263" s="24">
        <v>444.24</v>
      </c>
      <c r="J263" s="77"/>
    </row>
    <row r="264" spans="1:11" ht="24" x14ac:dyDescent="0.25">
      <c r="A264" s="115">
        <v>248</v>
      </c>
      <c r="B264" s="60" t="s">
        <v>195</v>
      </c>
      <c r="C264" s="10" t="str">
        <f>"4/2015-MUP-377"</f>
        <v>4/2015-MUP-377</v>
      </c>
      <c r="D264" s="56">
        <v>42679</v>
      </c>
      <c r="E264" s="56">
        <v>43044</v>
      </c>
      <c r="F264" s="8">
        <v>257.24</v>
      </c>
      <c r="G264" s="8">
        <v>257.24</v>
      </c>
      <c r="H264" s="56">
        <v>43100</v>
      </c>
      <c r="I264" s="24">
        <v>257.24</v>
      </c>
      <c r="J264" s="77"/>
    </row>
    <row r="265" spans="1:11" ht="24" x14ac:dyDescent="0.25">
      <c r="A265" s="115">
        <v>249</v>
      </c>
      <c r="B265" s="60" t="s">
        <v>195</v>
      </c>
      <c r="C265" s="10" t="str">
        <f>"4/2015-MUP-376"</f>
        <v>4/2015-MUP-376</v>
      </c>
      <c r="D265" s="56">
        <v>42678</v>
      </c>
      <c r="E265" s="56">
        <v>43043</v>
      </c>
      <c r="F265" s="8">
        <v>390.63</v>
      </c>
      <c r="G265" s="8">
        <v>390.63</v>
      </c>
      <c r="H265" s="56">
        <v>43100</v>
      </c>
      <c r="I265" s="24">
        <v>390.63</v>
      </c>
      <c r="J265" s="77"/>
      <c r="K265" s="48"/>
    </row>
    <row r="266" spans="1:11" ht="24" x14ac:dyDescent="0.25">
      <c r="A266" s="115">
        <v>250</v>
      </c>
      <c r="B266" s="60" t="s">
        <v>195</v>
      </c>
      <c r="C266" s="10" t="str">
        <f>"4/2015-MUP-375"</f>
        <v>4/2015-MUP-375</v>
      </c>
      <c r="D266" s="56">
        <v>42677</v>
      </c>
      <c r="E266" s="56">
        <v>43042</v>
      </c>
      <c r="F266" s="8">
        <v>390.63</v>
      </c>
      <c r="G266" s="8">
        <v>390.63</v>
      </c>
      <c r="H266" s="56">
        <v>43100</v>
      </c>
      <c r="I266" s="24">
        <v>390.63</v>
      </c>
      <c r="J266" s="77"/>
    </row>
    <row r="267" spans="1:11" ht="24" x14ac:dyDescent="0.25">
      <c r="A267" s="115">
        <v>251</v>
      </c>
      <c r="B267" s="60" t="s">
        <v>195</v>
      </c>
      <c r="C267" s="10" t="str">
        <f>"4/2015-MUP-374"</f>
        <v>4/2015-MUP-374</v>
      </c>
      <c r="D267" s="56">
        <v>42676</v>
      </c>
      <c r="E267" s="56">
        <v>43041</v>
      </c>
      <c r="F267" s="8">
        <v>244.95</v>
      </c>
      <c r="G267" s="8">
        <v>244.95</v>
      </c>
      <c r="H267" s="56">
        <v>43100</v>
      </c>
      <c r="I267" s="24">
        <v>244.95</v>
      </c>
      <c r="J267" s="77"/>
    </row>
    <row r="268" spans="1:11" ht="24" x14ac:dyDescent="0.25">
      <c r="A268" s="115">
        <v>252</v>
      </c>
      <c r="B268" s="60" t="s">
        <v>195</v>
      </c>
      <c r="C268" s="10" t="str">
        <f>"4/2015-MUP-373"</f>
        <v>4/2015-MUP-373</v>
      </c>
      <c r="D268" s="56">
        <v>42674</v>
      </c>
      <c r="E268" s="56">
        <v>43039</v>
      </c>
      <c r="F268" s="8">
        <v>203.7</v>
      </c>
      <c r="G268" s="8">
        <v>203.7</v>
      </c>
      <c r="H268" s="56">
        <v>43100</v>
      </c>
      <c r="I268" s="24">
        <v>203.7</v>
      </c>
      <c r="J268" s="77"/>
      <c r="K268" s="48"/>
    </row>
    <row r="269" spans="1:11" ht="24" x14ac:dyDescent="0.25">
      <c r="A269" s="115">
        <v>253</v>
      </c>
      <c r="B269" s="60" t="s">
        <v>195</v>
      </c>
      <c r="C269" s="10" t="str">
        <f>"4/2015-MUP-372"</f>
        <v>4/2015-MUP-372</v>
      </c>
      <c r="D269" s="56">
        <v>42673</v>
      </c>
      <c r="E269" s="56">
        <v>43038</v>
      </c>
      <c r="F269" s="8">
        <v>496.37</v>
      </c>
      <c r="G269" s="8">
        <v>496.37</v>
      </c>
      <c r="H269" s="56">
        <v>43100</v>
      </c>
      <c r="I269" s="24">
        <v>496.37</v>
      </c>
      <c r="J269" s="77"/>
    </row>
    <row r="270" spans="1:11" ht="24" x14ac:dyDescent="0.25">
      <c r="A270" s="115">
        <v>254</v>
      </c>
      <c r="B270" s="60" t="s">
        <v>195</v>
      </c>
      <c r="C270" s="10" t="str">
        <f>"4/2015-MUP-371"</f>
        <v>4/2015-MUP-371</v>
      </c>
      <c r="D270" s="56">
        <v>42672</v>
      </c>
      <c r="E270" s="56">
        <v>43037</v>
      </c>
      <c r="F270" s="8">
        <v>896.98</v>
      </c>
      <c r="G270" s="8">
        <v>896.98</v>
      </c>
      <c r="H270" s="56">
        <v>43100</v>
      </c>
      <c r="I270" s="24">
        <v>896.98</v>
      </c>
      <c r="J270" s="77"/>
    </row>
    <row r="271" spans="1:11" ht="24" x14ac:dyDescent="0.25">
      <c r="A271" s="115">
        <v>255</v>
      </c>
      <c r="B271" s="60" t="s">
        <v>195</v>
      </c>
      <c r="C271" s="10" t="str">
        <f>"4/2015-MUP-370"</f>
        <v>4/2015-MUP-370</v>
      </c>
      <c r="D271" s="56">
        <v>42671</v>
      </c>
      <c r="E271" s="56">
        <v>43036</v>
      </c>
      <c r="F271" s="8">
        <v>1953.07</v>
      </c>
      <c r="G271" s="8">
        <v>1953.07</v>
      </c>
      <c r="H271" s="56">
        <v>43100</v>
      </c>
      <c r="I271" s="24">
        <v>1953.07</v>
      </c>
      <c r="J271" s="77"/>
      <c r="K271" s="48"/>
    </row>
    <row r="272" spans="1:11" ht="24" x14ac:dyDescent="0.25">
      <c r="A272" s="115">
        <v>256</v>
      </c>
      <c r="B272" s="60" t="s">
        <v>195</v>
      </c>
      <c r="C272" s="10" t="str">
        <f>"4/2015-MUP-369"</f>
        <v>4/2015-MUP-369</v>
      </c>
      <c r="D272" s="56">
        <v>42670</v>
      </c>
      <c r="E272" s="56">
        <v>43035</v>
      </c>
      <c r="F272" s="8">
        <v>598.29999999999995</v>
      </c>
      <c r="G272" s="8">
        <v>598.29999999999995</v>
      </c>
      <c r="H272" s="56">
        <v>43100</v>
      </c>
      <c r="I272" s="24">
        <v>598.29999999999995</v>
      </c>
      <c r="J272" s="77"/>
    </row>
    <row r="273" spans="1:11" ht="24" x14ac:dyDescent="0.25">
      <c r="A273" s="115">
        <v>257</v>
      </c>
      <c r="B273" s="60" t="s">
        <v>195</v>
      </c>
      <c r="C273" s="10" t="str">
        <f>"4/2015-MUP-368"</f>
        <v>4/2015-MUP-368</v>
      </c>
      <c r="D273" s="56">
        <v>42669</v>
      </c>
      <c r="E273" s="56">
        <v>43034</v>
      </c>
      <c r="F273" s="8">
        <v>400.11</v>
      </c>
      <c r="G273" s="8">
        <v>400.11</v>
      </c>
      <c r="H273" s="56">
        <v>43100</v>
      </c>
      <c r="I273" s="24">
        <v>400.11</v>
      </c>
      <c r="J273" s="77"/>
    </row>
    <row r="274" spans="1:11" ht="24" x14ac:dyDescent="0.25">
      <c r="A274" s="115">
        <v>258</v>
      </c>
      <c r="B274" s="60" t="s">
        <v>195</v>
      </c>
      <c r="C274" s="10" t="str">
        <f>"4/2015-MUP-367"</f>
        <v>4/2015-MUP-367</v>
      </c>
      <c r="D274" s="56">
        <v>42667</v>
      </c>
      <c r="E274" s="56">
        <v>43032</v>
      </c>
      <c r="F274" s="8">
        <v>888.4</v>
      </c>
      <c r="G274" s="8">
        <v>888.4</v>
      </c>
      <c r="H274" s="56">
        <v>43100</v>
      </c>
      <c r="I274" s="24">
        <v>888.4</v>
      </c>
      <c r="J274" s="77"/>
      <c r="K274" s="48"/>
    </row>
    <row r="275" spans="1:11" ht="24" x14ac:dyDescent="0.25">
      <c r="A275" s="115">
        <v>259</v>
      </c>
      <c r="B275" s="60" t="s">
        <v>195</v>
      </c>
      <c r="C275" s="10" t="str">
        <f>"4/2015-MUP-366"</f>
        <v>4/2015-MUP-366</v>
      </c>
      <c r="D275" s="56">
        <v>42666</v>
      </c>
      <c r="E275" s="56">
        <v>43031</v>
      </c>
      <c r="F275" s="8">
        <v>2943.4</v>
      </c>
      <c r="G275" s="8">
        <v>2943.4</v>
      </c>
      <c r="H275" s="56">
        <v>43100</v>
      </c>
      <c r="I275" s="24">
        <v>2943.4</v>
      </c>
      <c r="J275" s="77"/>
    </row>
    <row r="276" spans="1:11" ht="24" x14ac:dyDescent="0.25">
      <c r="A276" s="115">
        <v>260</v>
      </c>
      <c r="B276" s="60" t="s">
        <v>195</v>
      </c>
      <c r="C276" s="10" t="str">
        <f>"4/2015-MUP-365"</f>
        <v>4/2015-MUP-365</v>
      </c>
      <c r="D276" s="56">
        <v>42665</v>
      </c>
      <c r="E276" s="56">
        <v>43030</v>
      </c>
      <c r="F276" s="8">
        <v>322.58</v>
      </c>
      <c r="G276" s="8">
        <v>322.58</v>
      </c>
      <c r="H276" s="56">
        <v>43100</v>
      </c>
      <c r="I276" s="24">
        <v>322.58</v>
      </c>
      <c r="J276" s="77"/>
    </row>
    <row r="277" spans="1:11" ht="24" x14ac:dyDescent="0.25">
      <c r="A277" s="115">
        <v>261</v>
      </c>
      <c r="B277" s="60" t="s">
        <v>195</v>
      </c>
      <c r="C277" s="10" t="str">
        <f>"4/2015-MUP-364"</f>
        <v>4/2015-MUP-364</v>
      </c>
      <c r="D277" s="56">
        <v>42664</v>
      </c>
      <c r="E277" s="56">
        <v>43029</v>
      </c>
      <c r="F277" s="8">
        <v>998.83</v>
      </c>
      <c r="G277" s="8">
        <v>998.83</v>
      </c>
      <c r="H277" s="56">
        <v>43100</v>
      </c>
      <c r="I277" s="24">
        <v>998.83</v>
      </c>
      <c r="J277" s="77"/>
      <c r="K277" s="48"/>
    </row>
    <row r="278" spans="1:11" x14ac:dyDescent="0.25">
      <c r="A278" s="115">
        <v>262</v>
      </c>
      <c r="B278" s="60" t="s">
        <v>186</v>
      </c>
      <c r="C278" s="10" t="str">
        <f>"017000127457"</f>
        <v>017000127457</v>
      </c>
      <c r="D278" s="56">
        <v>42663</v>
      </c>
      <c r="E278" s="56">
        <v>43028</v>
      </c>
      <c r="F278" s="8">
        <v>157.16999999999999</v>
      </c>
      <c r="G278" s="8">
        <v>180.75</v>
      </c>
      <c r="H278" s="56">
        <v>42882</v>
      </c>
      <c r="I278" s="24">
        <v>157.16999999999999</v>
      </c>
      <c r="J278" s="77"/>
    </row>
    <row r="279" spans="1:11" x14ac:dyDescent="0.25">
      <c r="A279" s="115">
        <v>263</v>
      </c>
      <c r="B279" s="60" t="s">
        <v>186</v>
      </c>
      <c r="C279" s="10" t="str">
        <f>"017000127449"</f>
        <v>017000127449</v>
      </c>
      <c r="D279" s="56">
        <v>42663</v>
      </c>
      <c r="E279" s="56">
        <v>43028</v>
      </c>
      <c r="F279" s="8">
        <v>190.8</v>
      </c>
      <c r="G279" s="8">
        <v>219.42</v>
      </c>
      <c r="H279" s="56">
        <v>42882</v>
      </c>
      <c r="I279" s="24">
        <v>190.8</v>
      </c>
      <c r="J279" s="77"/>
    </row>
    <row r="280" spans="1:11" ht="24" x14ac:dyDescent="0.25">
      <c r="A280" s="115">
        <v>264</v>
      </c>
      <c r="B280" s="60" t="s">
        <v>195</v>
      </c>
      <c r="C280" s="10" t="str">
        <f>"4/2015-MUP-363"</f>
        <v>4/2015-MUP-363</v>
      </c>
      <c r="D280" s="56">
        <v>42663</v>
      </c>
      <c r="E280" s="56">
        <v>43028</v>
      </c>
      <c r="F280" s="8">
        <v>217.02</v>
      </c>
      <c r="G280" s="8">
        <v>217.02</v>
      </c>
      <c r="H280" s="56">
        <v>43100</v>
      </c>
      <c r="I280" s="24">
        <v>217.02</v>
      </c>
      <c r="J280" s="77"/>
      <c r="K280" s="48"/>
    </row>
    <row r="281" spans="1:11" ht="24" x14ac:dyDescent="0.25">
      <c r="A281" s="115">
        <v>265</v>
      </c>
      <c r="B281" s="60" t="s">
        <v>195</v>
      </c>
      <c r="C281" s="10" t="str">
        <f>"4/2015-MUP-362"</f>
        <v>4/2015-MUP-362</v>
      </c>
      <c r="D281" s="56">
        <v>42662</v>
      </c>
      <c r="E281" s="56">
        <v>43027</v>
      </c>
      <c r="F281" s="8">
        <v>428.51</v>
      </c>
      <c r="G281" s="8">
        <v>428.51</v>
      </c>
      <c r="H281" s="56">
        <v>43100</v>
      </c>
      <c r="I281" s="24">
        <v>428.51</v>
      </c>
      <c r="J281" s="77"/>
    </row>
    <row r="282" spans="1:11" x14ac:dyDescent="0.25">
      <c r="A282" s="115">
        <v>266</v>
      </c>
      <c r="B282" s="60" t="s">
        <v>186</v>
      </c>
      <c r="C282" s="10" t="str">
        <f>"017000127430"</f>
        <v>017000127430</v>
      </c>
      <c r="D282" s="56">
        <v>42662</v>
      </c>
      <c r="E282" s="56">
        <v>43027</v>
      </c>
      <c r="F282" s="8">
        <v>288.92</v>
      </c>
      <c r="G282" s="8">
        <v>332.26</v>
      </c>
      <c r="H282" s="56">
        <v>42882</v>
      </c>
      <c r="I282" s="24">
        <v>288.92</v>
      </c>
      <c r="J282" s="77"/>
    </row>
    <row r="283" spans="1:11" ht="24" x14ac:dyDescent="0.25">
      <c r="A283" s="115">
        <v>267</v>
      </c>
      <c r="B283" s="60" t="s">
        <v>195</v>
      </c>
      <c r="C283" s="10" t="str">
        <f>"4/2015-MUP-361"</f>
        <v>4/2015-MUP-361</v>
      </c>
      <c r="D283" s="56">
        <v>42661</v>
      </c>
      <c r="E283" s="56">
        <v>43026</v>
      </c>
      <c r="F283" s="8">
        <v>411.98</v>
      </c>
      <c r="G283" s="8">
        <v>411.98</v>
      </c>
      <c r="H283" s="56">
        <v>43100</v>
      </c>
      <c r="I283" s="24">
        <v>411.98</v>
      </c>
      <c r="J283" s="77"/>
      <c r="K283" s="48"/>
    </row>
    <row r="284" spans="1:11" x14ac:dyDescent="0.25">
      <c r="A284" s="115">
        <v>268</v>
      </c>
      <c r="B284" s="60" t="s">
        <v>186</v>
      </c>
      <c r="C284" s="10" t="str">
        <f>"017000127422"</f>
        <v>017000127422</v>
      </c>
      <c r="D284" s="56">
        <v>42661</v>
      </c>
      <c r="E284" s="56">
        <v>43026</v>
      </c>
      <c r="F284" s="8">
        <v>204.32</v>
      </c>
      <c r="G284" s="8">
        <v>234.94</v>
      </c>
      <c r="H284" s="56">
        <v>42882</v>
      </c>
      <c r="I284" s="24">
        <v>204.32</v>
      </c>
      <c r="J284" s="77"/>
    </row>
    <row r="285" spans="1:11" x14ac:dyDescent="0.25">
      <c r="A285" s="115">
        <v>269</v>
      </c>
      <c r="B285" s="60" t="s">
        <v>186</v>
      </c>
      <c r="C285" s="10" t="str">
        <f>"017000127465"</f>
        <v>017000127465</v>
      </c>
      <c r="D285" s="56">
        <v>42661</v>
      </c>
      <c r="E285" s="56">
        <v>43026</v>
      </c>
      <c r="F285" s="8">
        <v>269.95</v>
      </c>
      <c r="G285" s="8">
        <v>310.44</v>
      </c>
      <c r="H285" s="56">
        <v>42882</v>
      </c>
      <c r="I285" s="24">
        <v>269.95</v>
      </c>
      <c r="J285" s="77"/>
    </row>
    <row r="286" spans="1:11" ht="24" x14ac:dyDescent="0.25">
      <c r="A286" s="115">
        <v>270</v>
      </c>
      <c r="B286" s="60" t="s">
        <v>195</v>
      </c>
      <c r="C286" s="10" t="str">
        <f>"4-205-MUP-360"</f>
        <v>4-205-MUP-360</v>
      </c>
      <c r="D286" s="56">
        <v>42660</v>
      </c>
      <c r="E286" s="56">
        <v>43025</v>
      </c>
      <c r="F286" s="8">
        <v>677.41</v>
      </c>
      <c r="G286" s="8">
        <v>677.41</v>
      </c>
      <c r="H286" s="56">
        <v>43100</v>
      </c>
      <c r="I286" s="24">
        <v>677.41</v>
      </c>
      <c r="J286" s="77"/>
      <c r="K286" s="48"/>
    </row>
    <row r="287" spans="1:11" ht="24" x14ac:dyDescent="0.25">
      <c r="A287" s="115">
        <v>271</v>
      </c>
      <c r="B287" s="60" t="s">
        <v>195</v>
      </c>
      <c r="C287" s="10" t="str">
        <f>"4/2015-MUP-359"</f>
        <v>4/2015-MUP-359</v>
      </c>
      <c r="D287" s="56">
        <v>42659</v>
      </c>
      <c r="E287" s="56">
        <v>43024</v>
      </c>
      <c r="F287" s="8">
        <v>2805.24</v>
      </c>
      <c r="G287" s="8">
        <v>2805.24</v>
      </c>
      <c r="H287" s="56">
        <v>43100</v>
      </c>
      <c r="I287" s="24">
        <v>2805.24</v>
      </c>
      <c r="J287" s="77"/>
    </row>
    <row r="288" spans="1:11" ht="24" x14ac:dyDescent="0.25">
      <c r="A288" s="115">
        <v>272</v>
      </c>
      <c r="B288" s="60" t="s">
        <v>195</v>
      </c>
      <c r="C288" s="10" t="str">
        <f>"4/2015-MUP-358"</f>
        <v>4/2015-MUP-358</v>
      </c>
      <c r="D288" s="56">
        <v>42658</v>
      </c>
      <c r="E288" s="56">
        <v>43023</v>
      </c>
      <c r="F288" s="8">
        <v>606.20000000000005</v>
      </c>
      <c r="G288" s="8">
        <v>606.20000000000005</v>
      </c>
      <c r="H288" s="56">
        <v>43100</v>
      </c>
      <c r="I288" s="24">
        <v>606.20000000000005</v>
      </c>
      <c r="J288" s="77"/>
    </row>
    <row r="289" spans="1:11" ht="24" x14ac:dyDescent="0.25">
      <c r="A289" s="115">
        <v>273</v>
      </c>
      <c r="B289" s="60" t="s">
        <v>195</v>
      </c>
      <c r="C289" s="10" t="str">
        <f>"4/2015-MUP-357"</f>
        <v>4/2015-MUP-357</v>
      </c>
      <c r="D289" s="56">
        <v>42657</v>
      </c>
      <c r="E289" s="56">
        <v>43022</v>
      </c>
      <c r="F289" s="8">
        <v>1077.8800000000001</v>
      </c>
      <c r="G289" s="8">
        <v>1077.8800000000001</v>
      </c>
      <c r="H289" s="56">
        <v>43100</v>
      </c>
      <c r="I289" s="24">
        <v>1077.8800000000001</v>
      </c>
      <c r="J289" s="77"/>
      <c r="K289" s="48"/>
    </row>
    <row r="290" spans="1:11" ht="24" x14ac:dyDescent="0.25">
      <c r="A290" s="115">
        <v>274</v>
      </c>
      <c r="B290" s="60" t="s">
        <v>195</v>
      </c>
      <c r="C290" s="10" t="str">
        <f>"4/2015-MUP-356"</f>
        <v>4/2015-MUP-356</v>
      </c>
      <c r="D290" s="56">
        <v>42656</v>
      </c>
      <c r="E290" s="56">
        <v>43021</v>
      </c>
      <c r="F290" s="8">
        <v>441.68</v>
      </c>
      <c r="G290" s="8">
        <v>441.68</v>
      </c>
      <c r="H290" s="56">
        <v>43100</v>
      </c>
      <c r="I290" s="24">
        <v>441.68</v>
      </c>
      <c r="J290" s="77"/>
    </row>
    <row r="291" spans="1:11" ht="24" x14ac:dyDescent="0.25">
      <c r="A291" s="115">
        <v>275</v>
      </c>
      <c r="B291" s="60" t="s">
        <v>195</v>
      </c>
      <c r="C291" s="10" t="str">
        <f>"4/2015-MUP-355"</f>
        <v>4/2015-MUP-355</v>
      </c>
      <c r="D291" s="56">
        <v>42655</v>
      </c>
      <c r="E291" s="56">
        <v>43020</v>
      </c>
      <c r="F291" s="8">
        <v>356.14</v>
      </c>
      <c r="G291" s="8">
        <v>356.14</v>
      </c>
      <c r="H291" s="56">
        <v>43100</v>
      </c>
      <c r="I291" s="24">
        <v>356.14</v>
      </c>
      <c r="J291" s="77"/>
    </row>
    <row r="292" spans="1:11" ht="24" x14ac:dyDescent="0.25">
      <c r="A292" s="115">
        <v>276</v>
      </c>
      <c r="B292" s="60" t="s">
        <v>195</v>
      </c>
      <c r="C292" s="10" t="str">
        <f>"4/2015-MUP-354"</f>
        <v>4/2015-MUP-354</v>
      </c>
      <c r="D292" s="56">
        <v>42652</v>
      </c>
      <c r="E292" s="56">
        <v>43017</v>
      </c>
      <c r="F292" s="8">
        <v>2300.58</v>
      </c>
      <c r="G292" s="8">
        <v>2300.58</v>
      </c>
      <c r="H292" s="56">
        <v>43100</v>
      </c>
      <c r="I292" s="24">
        <v>2300.58</v>
      </c>
      <c r="J292" s="77"/>
      <c r="K292" s="48"/>
    </row>
    <row r="293" spans="1:11" ht="24" x14ac:dyDescent="0.25">
      <c r="A293" s="115">
        <v>277</v>
      </c>
      <c r="B293" s="60" t="s">
        <v>195</v>
      </c>
      <c r="C293" s="10" t="str">
        <f>"4/2015-MUP-353"</f>
        <v>4/2015-MUP-353</v>
      </c>
      <c r="D293" s="56">
        <v>42651</v>
      </c>
      <c r="E293" s="56">
        <v>43016</v>
      </c>
      <c r="F293" s="8">
        <v>401.89</v>
      </c>
      <c r="G293" s="8">
        <v>401.89</v>
      </c>
      <c r="H293" s="56">
        <v>43100</v>
      </c>
      <c r="I293" s="24">
        <v>401.89</v>
      </c>
      <c r="J293" s="77"/>
    </row>
    <row r="294" spans="1:11" ht="24" x14ac:dyDescent="0.25">
      <c r="A294" s="115">
        <v>278</v>
      </c>
      <c r="B294" s="60" t="s">
        <v>195</v>
      </c>
      <c r="C294" s="10" t="str">
        <f>"4/2015-MUP-352"</f>
        <v>4/2015-MUP-352</v>
      </c>
      <c r="D294" s="56">
        <v>42650</v>
      </c>
      <c r="E294" s="56">
        <v>43015</v>
      </c>
      <c r="F294" s="8">
        <v>743.09</v>
      </c>
      <c r="G294" s="8">
        <v>743.09</v>
      </c>
      <c r="H294" s="56">
        <v>43100</v>
      </c>
      <c r="I294" s="24">
        <v>743.09</v>
      </c>
      <c r="J294" s="77"/>
    </row>
    <row r="295" spans="1:11" ht="24" x14ac:dyDescent="0.25">
      <c r="A295" s="115">
        <v>279</v>
      </c>
      <c r="B295" s="60" t="s">
        <v>195</v>
      </c>
      <c r="C295" s="10" t="str">
        <f>"4/2015-MUP-351"</f>
        <v>4/2015-MUP-351</v>
      </c>
      <c r="D295" s="56">
        <v>42649</v>
      </c>
      <c r="E295" s="56">
        <v>43014</v>
      </c>
      <c r="F295" s="8">
        <v>1386.04</v>
      </c>
      <c r="G295" s="8">
        <v>1386.04</v>
      </c>
      <c r="H295" s="56">
        <v>43100</v>
      </c>
      <c r="I295" s="24">
        <v>1386.04</v>
      </c>
      <c r="J295" s="77"/>
      <c r="K295" s="48"/>
    </row>
    <row r="296" spans="1:11" ht="24" x14ac:dyDescent="0.25">
      <c r="A296" s="115">
        <v>280</v>
      </c>
      <c r="B296" s="60" t="s">
        <v>195</v>
      </c>
      <c r="C296" s="10" t="str">
        <f>"4/2015-MUP-350"</f>
        <v>4/2015-MUP-350</v>
      </c>
      <c r="D296" s="56">
        <v>42648</v>
      </c>
      <c r="E296" s="56">
        <v>43013</v>
      </c>
      <c r="F296" s="8">
        <v>1055.3699999999999</v>
      </c>
      <c r="G296" s="8">
        <v>1055.3699999999999</v>
      </c>
      <c r="H296" s="56">
        <v>43100</v>
      </c>
      <c r="I296" s="24">
        <v>1055.3699999999999</v>
      </c>
      <c r="J296" s="77"/>
    </row>
    <row r="297" spans="1:11" ht="24" x14ac:dyDescent="0.25">
      <c r="A297" s="115">
        <v>281</v>
      </c>
      <c r="B297" s="60" t="s">
        <v>195</v>
      </c>
      <c r="C297" s="10" t="str">
        <f>"4/2015-MUP-349"</f>
        <v>4/2015-MUP-349</v>
      </c>
      <c r="D297" s="56">
        <v>42647</v>
      </c>
      <c r="E297" s="56">
        <v>43012</v>
      </c>
      <c r="F297" s="8">
        <v>2308.11</v>
      </c>
      <c r="G297" s="8">
        <v>2308.11</v>
      </c>
      <c r="H297" s="56">
        <v>43100</v>
      </c>
      <c r="I297" s="24">
        <v>2308.11</v>
      </c>
      <c r="J297" s="77"/>
    </row>
    <row r="298" spans="1:11" ht="24" x14ac:dyDescent="0.25">
      <c r="A298" s="115">
        <v>282</v>
      </c>
      <c r="B298" s="60" t="s">
        <v>195</v>
      </c>
      <c r="C298" s="10" t="str">
        <f>"4/2015-MUP-348"</f>
        <v>4/2015-MUP-348</v>
      </c>
      <c r="D298" s="56">
        <v>42646</v>
      </c>
      <c r="E298" s="56">
        <v>43011</v>
      </c>
      <c r="F298" s="8">
        <v>5129.8900000000003</v>
      </c>
      <c r="G298" s="8">
        <v>5129.8900000000003</v>
      </c>
      <c r="H298" s="56">
        <v>43100</v>
      </c>
      <c r="I298" s="24">
        <v>5129.8900000000003</v>
      </c>
      <c r="J298" s="77"/>
      <c r="K298" s="48"/>
    </row>
    <row r="299" spans="1:11" ht="24" x14ac:dyDescent="0.25">
      <c r="A299" s="115">
        <v>283</v>
      </c>
      <c r="B299" s="60" t="s">
        <v>195</v>
      </c>
      <c r="C299" s="10" t="str">
        <f>"4/2015-MUP-347"</f>
        <v>4/2015-MUP-347</v>
      </c>
      <c r="D299" s="56">
        <v>42645</v>
      </c>
      <c r="E299" s="56">
        <v>43010</v>
      </c>
      <c r="F299" s="8">
        <v>2424.1</v>
      </c>
      <c r="G299" s="8">
        <v>2424.1</v>
      </c>
      <c r="H299" s="56">
        <v>43100</v>
      </c>
      <c r="I299" s="24">
        <v>2424.1</v>
      </c>
      <c r="J299" s="77"/>
    </row>
    <row r="300" spans="1:11" ht="24" x14ac:dyDescent="0.25">
      <c r="A300" s="115">
        <v>284</v>
      </c>
      <c r="B300" s="60" t="s">
        <v>195</v>
      </c>
      <c r="C300" s="10" t="str">
        <f>"4/2015-MUP-346"</f>
        <v>4/2015-MUP-346</v>
      </c>
      <c r="D300" s="56">
        <v>42644</v>
      </c>
      <c r="E300" s="56">
        <v>43009</v>
      </c>
      <c r="F300" s="8">
        <v>3155</v>
      </c>
      <c r="G300" s="8">
        <v>3155</v>
      </c>
      <c r="H300" s="56">
        <v>43100</v>
      </c>
      <c r="I300" s="24">
        <v>3155</v>
      </c>
      <c r="J300" s="77"/>
    </row>
    <row r="301" spans="1:11" ht="24" x14ac:dyDescent="0.25">
      <c r="A301" s="115">
        <v>285</v>
      </c>
      <c r="B301" s="60" t="s">
        <v>195</v>
      </c>
      <c r="C301" s="10" t="str">
        <f>"4/2015-MUP-343"</f>
        <v>4/2015-MUP-343</v>
      </c>
      <c r="D301" s="56">
        <v>42643</v>
      </c>
      <c r="E301" s="56">
        <v>43008</v>
      </c>
      <c r="F301" s="8">
        <v>1555.98</v>
      </c>
      <c r="G301" s="8">
        <v>1555.98</v>
      </c>
      <c r="H301" s="56">
        <v>43008</v>
      </c>
      <c r="I301" s="24">
        <v>1555.98</v>
      </c>
      <c r="J301" s="77"/>
      <c r="K301" s="48"/>
    </row>
    <row r="302" spans="1:11" ht="24" x14ac:dyDescent="0.25">
      <c r="A302" s="115">
        <v>286</v>
      </c>
      <c r="B302" s="60" t="s">
        <v>195</v>
      </c>
      <c r="C302" s="10" t="str">
        <f>"4/2015-MUP-345"</f>
        <v>4/2015-MUP-345</v>
      </c>
      <c r="D302" s="56">
        <v>42643</v>
      </c>
      <c r="E302" s="56">
        <v>43008</v>
      </c>
      <c r="F302" s="8">
        <v>292.82</v>
      </c>
      <c r="G302" s="8">
        <v>292.82</v>
      </c>
      <c r="H302" s="56">
        <v>43008</v>
      </c>
      <c r="I302" s="24">
        <v>292.82</v>
      </c>
      <c r="J302" s="77"/>
    </row>
    <row r="303" spans="1:11" ht="24" x14ac:dyDescent="0.25">
      <c r="A303" s="115">
        <v>287</v>
      </c>
      <c r="B303" s="60" t="s">
        <v>195</v>
      </c>
      <c r="C303" s="10" t="str">
        <f>"4/2015-MUP-342"</f>
        <v>4/2015-MUP-342</v>
      </c>
      <c r="D303" s="56">
        <v>42642</v>
      </c>
      <c r="E303" s="56">
        <v>43007</v>
      </c>
      <c r="F303" s="8">
        <v>564.55999999999995</v>
      </c>
      <c r="G303" s="8">
        <v>564.55999999999995</v>
      </c>
      <c r="H303" s="56">
        <v>43008</v>
      </c>
      <c r="I303" s="24">
        <v>564.55999999999995</v>
      </c>
      <c r="J303" s="77"/>
    </row>
    <row r="304" spans="1:11" ht="24" x14ac:dyDescent="0.25">
      <c r="A304" s="115">
        <v>288</v>
      </c>
      <c r="B304" s="60" t="s">
        <v>195</v>
      </c>
      <c r="C304" s="10" t="str">
        <f>"4/2015-MUP-341"</f>
        <v>4/2015-MUP-341</v>
      </c>
      <c r="D304" s="56">
        <v>42641</v>
      </c>
      <c r="E304" s="56">
        <v>43006</v>
      </c>
      <c r="F304" s="8">
        <v>552.61</v>
      </c>
      <c r="G304" s="8">
        <v>552.61</v>
      </c>
      <c r="H304" s="56">
        <v>43008</v>
      </c>
      <c r="I304" s="24">
        <v>552.61</v>
      </c>
      <c r="J304" s="77"/>
      <c r="K304" s="48"/>
    </row>
    <row r="305" spans="1:11" ht="24" x14ac:dyDescent="0.25">
      <c r="A305" s="115">
        <v>289</v>
      </c>
      <c r="B305" s="60" t="s">
        <v>195</v>
      </c>
      <c r="C305" s="10" t="str">
        <f>"4/2015-MUP-340"</f>
        <v>4/2015-MUP-340</v>
      </c>
      <c r="D305" s="56">
        <v>42640</v>
      </c>
      <c r="E305" s="56">
        <v>43005</v>
      </c>
      <c r="F305" s="8">
        <v>2514.5100000000002</v>
      </c>
      <c r="G305" s="8">
        <v>2514.5100000000002</v>
      </c>
      <c r="H305" s="56">
        <v>43008</v>
      </c>
      <c r="I305" s="24">
        <v>2514.5100000000002</v>
      </c>
      <c r="J305" s="77"/>
    </row>
    <row r="306" spans="1:11" ht="24" x14ac:dyDescent="0.25">
      <c r="A306" s="115">
        <v>290</v>
      </c>
      <c r="B306" s="60" t="s">
        <v>210</v>
      </c>
      <c r="C306" s="10" t="str">
        <f>"4/2015 - PU - 38"</f>
        <v>4/2015 - PU - 38</v>
      </c>
      <c r="D306" s="56">
        <v>42640</v>
      </c>
      <c r="E306" s="56">
        <v>43005</v>
      </c>
      <c r="F306" s="8">
        <v>192.33</v>
      </c>
      <c r="G306" s="8">
        <v>192.33</v>
      </c>
      <c r="H306" s="56">
        <v>43005</v>
      </c>
      <c r="I306" s="24">
        <v>192.23</v>
      </c>
      <c r="J306" s="77"/>
    </row>
    <row r="307" spans="1:11" ht="24" x14ac:dyDescent="0.25">
      <c r="A307" s="115">
        <v>291</v>
      </c>
      <c r="B307" s="60" t="s">
        <v>195</v>
      </c>
      <c r="C307" s="10" t="str">
        <f>"4/2015-MUP-339"</f>
        <v>4/2015-MUP-339</v>
      </c>
      <c r="D307" s="56">
        <v>42639</v>
      </c>
      <c r="E307" s="56">
        <v>43004</v>
      </c>
      <c r="F307" s="8">
        <v>8484.1</v>
      </c>
      <c r="G307" s="8">
        <v>8484.1</v>
      </c>
      <c r="H307" s="56">
        <v>43008</v>
      </c>
      <c r="I307" s="24">
        <v>8484.1</v>
      </c>
      <c r="J307" s="77"/>
      <c r="K307" s="48"/>
    </row>
    <row r="308" spans="1:11" ht="24" x14ac:dyDescent="0.25">
      <c r="A308" s="115">
        <v>292</v>
      </c>
      <c r="B308" s="60" t="s">
        <v>195</v>
      </c>
      <c r="C308" s="10" t="str">
        <f>"4/2015-MUP-338"</f>
        <v>4/2015-MUP-338</v>
      </c>
      <c r="D308" s="56">
        <v>42638</v>
      </c>
      <c r="E308" s="56">
        <v>43003</v>
      </c>
      <c r="F308" s="8">
        <v>1408.99</v>
      </c>
      <c r="G308" s="8">
        <v>1408.99</v>
      </c>
      <c r="H308" s="56">
        <v>43008</v>
      </c>
      <c r="I308" s="24">
        <v>1408.99</v>
      </c>
      <c r="J308" s="77"/>
    </row>
    <row r="309" spans="1:11" x14ac:dyDescent="0.25">
      <c r="A309" s="115">
        <v>293</v>
      </c>
      <c r="B309" s="60" t="s">
        <v>186</v>
      </c>
      <c r="C309" s="10" t="str">
        <f>"004700000317"</f>
        <v>004700000317</v>
      </c>
      <c r="D309" s="56">
        <v>42637</v>
      </c>
      <c r="E309" s="56">
        <v>43002</v>
      </c>
      <c r="F309" s="8">
        <v>1945.09</v>
      </c>
      <c r="G309" s="8">
        <v>2139.6</v>
      </c>
      <c r="H309" s="56">
        <v>42882</v>
      </c>
      <c r="I309" s="24">
        <v>1945.09</v>
      </c>
      <c r="J309" s="77"/>
    </row>
    <row r="310" spans="1:11" x14ac:dyDescent="0.25">
      <c r="A310" s="115">
        <v>294</v>
      </c>
      <c r="B310" s="60" t="s">
        <v>186</v>
      </c>
      <c r="C310" s="10" t="str">
        <f>"004700000318"</f>
        <v>004700000318</v>
      </c>
      <c r="D310" s="56">
        <v>42637</v>
      </c>
      <c r="E310" s="56">
        <v>43002</v>
      </c>
      <c r="F310" s="8">
        <v>1945.09</v>
      </c>
      <c r="G310" s="8">
        <v>2139.6</v>
      </c>
      <c r="H310" s="56">
        <v>42882</v>
      </c>
      <c r="I310" s="24">
        <v>1945.09</v>
      </c>
      <c r="J310" s="77"/>
      <c r="K310" s="48"/>
    </row>
    <row r="311" spans="1:11" ht="24" x14ac:dyDescent="0.25">
      <c r="A311" s="115">
        <v>295</v>
      </c>
      <c r="B311" s="60" t="s">
        <v>186</v>
      </c>
      <c r="C311" s="10" t="str">
        <f>"004700000320-KASKO"</f>
        <v>004700000320-KASKO</v>
      </c>
      <c r="D311" s="56">
        <v>42637</v>
      </c>
      <c r="E311" s="56">
        <v>43002</v>
      </c>
      <c r="F311" s="8">
        <v>1945.09</v>
      </c>
      <c r="G311" s="8">
        <v>2139.6</v>
      </c>
      <c r="H311" s="56">
        <v>42882</v>
      </c>
      <c r="I311" s="24">
        <v>1945.09</v>
      </c>
      <c r="J311" s="77"/>
    </row>
    <row r="312" spans="1:11" ht="24" x14ac:dyDescent="0.25">
      <c r="A312" s="115">
        <v>296</v>
      </c>
      <c r="B312" s="60" t="s">
        <v>186</v>
      </c>
      <c r="C312" s="10" t="str">
        <f>"004700000322-KASKO"</f>
        <v>004700000322-KASKO</v>
      </c>
      <c r="D312" s="56">
        <v>42637</v>
      </c>
      <c r="E312" s="56">
        <v>43002</v>
      </c>
      <c r="F312" s="8">
        <v>1945.09</v>
      </c>
      <c r="G312" s="8">
        <v>2139.6</v>
      </c>
      <c r="H312" s="56">
        <v>42882</v>
      </c>
      <c r="I312" s="24">
        <v>1945.09</v>
      </c>
      <c r="J312" s="77"/>
    </row>
    <row r="313" spans="1:11" ht="24" x14ac:dyDescent="0.25">
      <c r="A313" s="115">
        <v>297</v>
      </c>
      <c r="B313" s="60" t="s">
        <v>186</v>
      </c>
      <c r="C313" s="10" t="str">
        <f>"004700000323-KASKO"</f>
        <v>004700000323-KASKO</v>
      </c>
      <c r="D313" s="56">
        <v>42637</v>
      </c>
      <c r="E313" s="56">
        <v>43002</v>
      </c>
      <c r="F313" s="8">
        <v>1945.09</v>
      </c>
      <c r="G313" s="8">
        <v>2139.6</v>
      </c>
      <c r="H313" s="56">
        <v>42882</v>
      </c>
      <c r="I313" s="24">
        <v>1945.09</v>
      </c>
      <c r="J313" s="77"/>
      <c r="K313" s="48"/>
    </row>
    <row r="314" spans="1:11" ht="24" x14ac:dyDescent="0.25">
      <c r="A314" s="115">
        <v>298</v>
      </c>
      <c r="B314" s="60" t="s">
        <v>195</v>
      </c>
      <c r="C314" s="10" t="str">
        <f>"4/2015-MUP-337"</f>
        <v>4/2015-MUP-337</v>
      </c>
      <c r="D314" s="56">
        <v>42637</v>
      </c>
      <c r="E314" s="56">
        <v>43002</v>
      </c>
      <c r="F314" s="8">
        <v>835.39</v>
      </c>
      <c r="G314" s="8">
        <v>835.39</v>
      </c>
      <c r="H314" s="56">
        <v>43008</v>
      </c>
      <c r="I314" s="24">
        <v>835.39</v>
      </c>
      <c r="J314" s="77"/>
    </row>
    <row r="315" spans="1:11" ht="24" x14ac:dyDescent="0.25">
      <c r="A315" s="115">
        <v>299</v>
      </c>
      <c r="B315" s="60" t="s">
        <v>195</v>
      </c>
      <c r="C315" s="10" t="str">
        <f>"4/2015-MUP-336"</f>
        <v>4/2015-MUP-336</v>
      </c>
      <c r="D315" s="56">
        <v>42635</v>
      </c>
      <c r="E315" s="56">
        <v>43000</v>
      </c>
      <c r="F315" s="8">
        <v>3017.21</v>
      </c>
      <c r="G315" s="8">
        <v>3017.21</v>
      </c>
      <c r="H315" s="56">
        <v>43000</v>
      </c>
      <c r="I315" s="24">
        <v>3017.21</v>
      </c>
      <c r="J315" s="77"/>
    </row>
    <row r="316" spans="1:11" ht="24" x14ac:dyDescent="0.25">
      <c r="A316" s="115">
        <v>300</v>
      </c>
      <c r="B316" s="60" t="s">
        <v>195</v>
      </c>
      <c r="C316" s="10" t="str">
        <f>"4/2015-MUP-335"</f>
        <v>4/2015-MUP-335</v>
      </c>
      <c r="D316" s="56">
        <v>42634</v>
      </c>
      <c r="E316" s="56">
        <v>42999</v>
      </c>
      <c r="F316" s="8">
        <v>2141.62</v>
      </c>
      <c r="G316" s="8">
        <v>2141.62</v>
      </c>
      <c r="H316" s="56">
        <v>43008</v>
      </c>
      <c r="I316" s="24">
        <v>2141.62</v>
      </c>
      <c r="J316" s="77"/>
      <c r="K316" s="48"/>
    </row>
    <row r="317" spans="1:11" ht="24" x14ac:dyDescent="0.25">
      <c r="A317" s="115">
        <v>301</v>
      </c>
      <c r="B317" s="60" t="s">
        <v>210</v>
      </c>
      <c r="C317" s="10" t="str">
        <f>"4/2015 - PU - 36"</f>
        <v>4/2015 - PU - 36</v>
      </c>
      <c r="D317" s="56">
        <v>42634</v>
      </c>
      <c r="E317" s="56">
        <v>42999</v>
      </c>
      <c r="F317" s="8">
        <v>295.74</v>
      </c>
      <c r="G317" s="8">
        <v>295.74</v>
      </c>
      <c r="H317" s="56">
        <v>42999</v>
      </c>
      <c r="I317" s="24">
        <v>295.74</v>
      </c>
      <c r="J317" s="77"/>
    </row>
    <row r="318" spans="1:11" ht="24" x14ac:dyDescent="0.25">
      <c r="A318" s="115">
        <v>302</v>
      </c>
      <c r="B318" s="60" t="s">
        <v>195</v>
      </c>
      <c r="C318" s="10" t="str">
        <f>"4/2015-MUP-334"</f>
        <v>4/2015-MUP-334</v>
      </c>
      <c r="D318" s="56">
        <v>42633</v>
      </c>
      <c r="E318" s="56">
        <v>42998</v>
      </c>
      <c r="F318" s="8">
        <v>1460.87</v>
      </c>
      <c r="G318" s="8">
        <v>1460.87</v>
      </c>
      <c r="H318" s="56">
        <v>43008</v>
      </c>
      <c r="I318" s="24">
        <v>1460.87</v>
      </c>
      <c r="J318" s="77"/>
    </row>
    <row r="319" spans="1:11" x14ac:dyDescent="0.25">
      <c r="A319" s="115">
        <v>303</v>
      </c>
      <c r="B319" s="60" t="s">
        <v>186</v>
      </c>
      <c r="C319" s="10" t="str">
        <f>"017000109181"</f>
        <v>017000109181</v>
      </c>
      <c r="D319" s="56">
        <v>42633</v>
      </c>
      <c r="E319" s="56">
        <v>42998</v>
      </c>
      <c r="F319" s="8">
        <v>183.95</v>
      </c>
      <c r="G319" s="8">
        <v>211.54</v>
      </c>
      <c r="H319" s="56">
        <v>42882</v>
      </c>
      <c r="I319" s="24">
        <v>183.95</v>
      </c>
      <c r="J319" s="77"/>
      <c r="K319" s="48"/>
    </row>
    <row r="320" spans="1:11" ht="24" x14ac:dyDescent="0.25">
      <c r="A320" s="115">
        <v>304</v>
      </c>
      <c r="B320" s="60" t="s">
        <v>195</v>
      </c>
      <c r="C320" s="10" t="str">
        <f>"4/2015-MUP-333"</f>
        <v>4/2015-MUP-333</v>
      </c>
      <c r="D320" s="56">
        <v>42632</v>
      </c>
      <c r="E320" s="56">
        <v>42997</v>
      </c>
      <c r="F320" s="8">
        <v>985.23</v>
      </c>
      <c r="G320" s="8">
        <v>985.23</v>
      </c>
      <c r="H320" s="56">
        <v>43008</v>
      </c>
      <c r="I320" s="24">
        <v>985.23</v>
      </c>
      <c r="J320" s="77"/>
    </row>
    <row r="321" spans="1:11" ht="24" x14ac:dyDescent="0.25">
      <c r="A321" s="115">
        <v>305</v>
      </c>
      <c r="B321" s="60" t="s">
        <v>210</v>
      </c>
      <c r="C321" s="10" t="str">
        <f>"4/2015 - PU - 37"</f>
        <v>4/2015 - PU - 37</v>
      </c>
      <c r="D321" s="56">
        <v>42632</v>
      </c>
      <c r="E321" s="56">
        <v>42997</v>
      </c>
      <c r="F321" s="8">
        <v>147.87</v>
      </c>
      <c r="G321" s="8">
        <v>147.87</v>
      </c>
      <c r="H321" s="56">
        <v>42997</v>
      </c>
      <c r="I321" s="24">
        <v>147.87</v>
      </c>
      <c r="J321" s="77"/>
    </row>
    <row r="322" spans="1:11" ht="24" x14ac:dyDescent="0.25">
      <c r="A322" s="115">
        <v>306</v>
      </c>
      <c r="B322" s="60" t="s">
        <v>195</v>
      </c>
      <c r="C322" s="10" t="str">
        <f>"4/2015-MUP-332"</f>
        <v>4/2015-MUP-332</v>
      </c>
      <c r="D322" s="56">
        <v>42631</v>
      </c>
      <c r="E322" s="56">
        <v>42996</v>
      </c>
      <c r="F322" s="8">
        <v>16125.38</v>
      </c>
      <c r="G322" s="8">
        <v>16125.38</v>
      </c>
      <c r="H322" s="56">
        <v>43008</v>
      </c>
      <c r="I322" s="24">
        <v>16125.38</v>
      </c>
      <c r="J322" s="77"/>
      <c r="K322" s="48"/>
    </row>
    <row r="323" spans="1:11" ht="24" x14ac:dyDescent="0.25">
      <c r="A323" s="115">
        <v>307</v>
      </c>
      <c r="B323" s="60" t="s">
        <v>195</v>
      </c>
      <c r="C323" s="10" t="str">
        <f>"4/2015-MUP-331"</f>
        <v>4/2015-MUP-331</v>
      </c>
      <c r="D323" s="56">
        <v>42630</v>
      </c>
      <c r="E323" s="56">
        <v>42995</v>
      </c>
      <c r="F323" s="8">
        <v>300.77999999999997</v>
      </c>
      <c r="G323" s="8">
        <v>300.77999999999997</v>
      </c>
      <c r="H323" s="56">
        <v>43008</v>
      </c>
      <c r="I323" s="24">
        <v>300.77999999999997</v>
      </c>
      <c r="J323" s="77"/>
    </row>
    <row r="324" spans="1:11" ht="24" x14ac:dyDescent="0.25">
      <c r="A324" s="115">
        <v>308</v>
      </c>
      <c r="B324" s="60" t="s">
        <v>195</v>
      </c>
      <c r="C324" s="10" t="str">
        <f>"4/2015-MUP-330"</f>
        <v>4/2015-MUP-330</v>
      </c>
      <c r="D324" s="56">
        <v>42629</v>
      </c>
      <c r="E324" s="56">
        <v>42994</v>
      </c>
      <c r="F324" s="8">
        <v>6613.71</v>
      </c>
      <c r="G324" s="8">
        <v>6613.71</v>
      </c>
      <c r="H324" s="56">
        <v>43008</v>
      </c>
      <c r="I324" s="24">
        <v>6613.71</v>
      </c>
      <c r="J324" s="77"/>
    </row>
    <row r="325" spans="1:11" ht="24" x14ac:dyDescent="0.25">
      <c r="A325" s="115">
        <v>309</v>
      </c>
      <c r="B325" s="60" t="s">
        <v>195</v>
      </c>
      <c r="C325" s="10" t="str">
        <f>"4/2015-MUP-329"</f>
        <v>4/2015-MUP-329</v>
      </c>
      <c r="D325" s="56">
        <v>42628</v>
      </c>
      <c r="E325" s="56">
        <v>42993</v>
      </c>
      <c r="F325" s="8">
        <v>405.63</v>
      </c>
      <c r="G325" s="8">
        <v>405.63</v>
      </c>
      <c r="H325" s="56">
        <v>43008</v>
      </c>
      <c r="I325" s="24">
        <v>405.63</v>
      </c>
      <c r="J325" s="77"/>
      <c r="K325" s="48"/>
    </row>
    <row r="326" spans="1:11" x14ac:dyDescent="0.25">
      <c r="A326" s="115">
        <v>310</v>
      </c>
      <c r="B326" s="60" t="s">
        <v>186</v>
      </c>
      <c r="C326" s="10" t="str">
        <f>"017000109149"</f>
        <v>017000109149</v>
      </c>
      <c r="D326" s="56">
        <v>42628</v>
      </c>
      <c r="E326" s="56">
        <v>42993</v>
      </c>
      <c r="F326" s="8">
        <v>417.16</v>
      </c>
      <c r="G326" s="8">
        <v>479.73</v>
      </c>
      <c r="H326" s="56">
        <v>42882</v>
      </c>
      <c r="I326" s="24">
        <v>417.16</v>
      </c>
      <c r="J326" s="77"/>
    </row>
    <row r="327" spans="1:11" x14ac:dyDescent="0.25">
      <c r="A327" s="115">
        <v>311</v>
      </c>
      <c r="B327" s="60" t="s">
        <v>186</v>
      </c>
      <c r="C327" s="10" t="str">
        <f>"017000109122"</f>
        <v>017000109122</v>
      </c>
      <c r="D327" s="56">
        <v>42628</v>
      </c>
      <c r="E327" s="56">
        <v>42993</v>
      </c>
      <c r="F327" s="8">
        <v>183.95</v>
      </c>
      <c r="G327" s="8">
        <v>211.54</v>
      </c>
      <c r="H327" s="56">
        <v>42882</v>
      </c>
      <c r="I327" s="24">
        <v>183.59</v>
      </c>
      <c r="J327" s="77"/>
    </row>
    <row r="328" spans="1:11" x14ac:dyDescent="0.25">
      <c r="A328" s="115">
        <v>312</v>
      </c>
      <c r="B328" s="60" t="s">
        <v>186</v>
      </c>
      <c r="C328" s="10" t="str">
        <f>"017000109190"</f>
        <v>017000109190</v>
      </c>
      <c r="D328" s="56">
        <v>42628</v>
      </c>
      <c r="E328" s="56">
        <v>42993</v>
      </c>
      <c r="F328" s="8">
        <v>417.16</v>
      </c>
      <c r="G328" s="8">
        <v>479.73</v>
      </c>
      <c r="H328" s="56">
        <v>42882</v>
      </c>
      <c r="I328" s="24">
        <v>417.16</v>
      </c>
      <c r="J328" s="77"/>
      <c r="K328" s="48"/>
    </row>
    <row r="329" spans="1:11" x14ac:dyDescent="0.25">
      <c r="A329" s="115">
        <v>313</v>
      </c>
      <c r="B329" s="60" t="s">
        <v>186</v>
      </c>
      <c r="C329" s="10" t="str">
        <f>"017000109165"</f>
        <v>017000109165</v>
      </c>
      <c r="D329" s="56">
        <v>42628</v>
      </c>
      <c r="E329" s="56">
        <v>42993</v>
      </c>
      <c r="F329" s="8">
        <v>417.18</v>
      </c>
      <c r="G329" s="8">
        <v>479.75</v>
      </c>
      <c r="H329" s="56">
        <v>42882</v>
      </c>
      <c r="I329" s="24">
        <v>417.18</v>
      </c>
      <c r="J329" s="77"/>
    </row>
    <row r="330" spans="1:11" x14ac:dyDescent="0.25">
      <c r="A330" s="115">
        <v>314</v>
      </c>
      <c r="B330" s="60" t="s">
        <v>186</v>
      </c>
      <c r="C330" s="10" t="str">
        <f>"017000109157"</f>
        <v>017000109157</v>
      </c>
      <c r="D330" s="56">
        <v>42628</v>
      </c>
      <c r="E330" s="56">
        <v>42993</v>
      </c>
      <c r="F330" s="8">
        <v>417.16</v>
      </c>
      <c r="G330" s="8">
        <v>479.73</v>
      </c>
      <c r="H330" s="56">
        <v>42882</v>
      </c>
      <c r="I330" s="24">
        <v>417.16</v>
      </c>
      <c r="J330" s="77"/>
    </row>
    <row r="331" spans="1:11" x14ac:dyDescent="0.25">
      <c r="A331" s="115">
        <v>315</v>
      </c>
      <c r="B331" s="60" t="s">
        <v>186</v>
      </c>
      <c r="C331" s="10" t="str">
        <f>"017000109130"</f>
        <v>017000109130</v>
      </c>
      <c r="D331" s="56">
        <v>42628</v>
      </c>
      <c r="E331" s="56">
        <v>42993</v>
      </c>
      <c r="F331" s="8">
        <v>417.16</v>
      </c>
      <c r="G331" s="8">
        <v>479.73</v>
      </c>
      <c r="H331" s="56">
        <v>42882</v>
      </c>
      <c r="I331" s="24">
        <v>417.16</v>
      </c>
      <c r="J331" s="77"/>
      <c r="K331" s="48"/>
    </row>
    <row r="332" spans="1:11" ht="24" x14ac:dyDescent="0.25">
      <c r="A332" s="115">
        <v>316</v>
      </c>
      <c r="B332" s="60" t="s">
        <v>195</v>
      </c>
      <c r="C332" s="10" t="str">
        <f>"4/2015-MUP-328"</f>
        <v>4/2015-MUP-328</v>
      </c>
      <c r="D332" s="56">
        <v>42627</v>
      </c>
      <c r="E332" s="56">
        <v>42992</v>
      </c>
      <c r="F332" s="8">
        <v>905.88</v>
      </c>
      <c r="G332" s="8">
        <v>905.88</v>
      </c>
      <c r="H332" s="56">
        <v>43008</v>
      </c>
      <c r="I332" s="24">
        <v>905.88</v>
      </c>
      <c r="J332" s="77"/>
    </row>
    <row r="333" spans="1:11" ht="24" x14ac:dyDescent="0.25">
      <c r="A333" s="115">
        <v>317</v>
      </c>
      <c r="B333" s="60" t="s">
        <v>195</v>
      </c>
      <c r="C333" s="10" t="str">
        <f>"4/2015-MUP-327"</f>
        <v>4/2015-MUP-327</v>
      </c>
      <c r="D333" s="56">
        <v>42626</v>
      </c>
      <c r="E333" s="56">
        <v>42991</v>
      </c>
      <c r="F333" s="8">
        <v>1119.24</v>
      </c>
      <c r="G333" s="8">
        <v>1119.24</v>
      </c>
      <c r="H333" s="56">
        <v>43008</v>
      </c>
      <c r="I333" s="24">
        <v>1119.24</v>
      </c>
      <c r="J333" s="77"/>
    </row>
    <row r="334" spans="1:11" ht="24" x14ac:dyDescent="0.25">
      <c r="A334" s="115">
        <v>318</v>
      </c>
      <c r="B334" s="60" t="s">
        <v>195</v>
      </c>
      <c r="C334" s="10" t="str">
        <f>"4/2015-MUP-326"</f>
        <v>4/2015-MUP-326</v>
      </c>
      <c r="D334" s="56">
        <v>42625</v>
      </c>
      <c r="E334" s="56">
        <v>42990</v>
      </c>
      <c r="F334" s="8">
        <v>1981.3</v>
      </c>
      <c r="G334" s="8">
        <v>1981.3</v>
      </c>
      <c r="H334" s="56">
        <v>43008</v>
      </c>
      <c r="I334" s="24">
        <v>1981.3</v>
      </c>
      <c r="J334" s="77"/>
      <c r="K334" s="48"/>
    </row>
    <row r="335" spans="1:11" ht="24" x14ac:dyDescent="0.25">
      <c r="A335" s="115">
        <v>319</v>
      </c>
      <c r="B335" s="60" t="s">
        <v>195</v>
      </c>
      <c r="C335" s="10" t="str">
        <f>"4/2015-MUP-325"</f>
        <v>4/2015-MUP-325</v>
      </c>
      <c r="D335" s="56">
        <v>42624</v>
      </c>
      <c r="E335" s="56">
        <v>42989</v>
      </c>
      <c r="F335" s="8">
        <v>462.75</v>
      </c>
      <c r="G335" s="8">
        <v>462.75</v>
      </c>
      <c r="H335" s="56">
        <v>43008</v>
      </c>
      <c r="I335" s="24">
        <v>462.75</v>
      </c>
      <c r="J335" s="77"/>
    </row>
    <row r="336" spans="1:11" ht="24" x14ac:dyDescent="0.25">
      <c r="A336" s="115">
        <v>320</v>
      </c>
      <c r="B336" s="60" t="s">
        <v>195</v>
      </c>
      <c r="C336" s="10" t="str">
        <f>"4/2015-MUP-324"</f>
        <v>4/2015-MUP-324</v>
      </c>
      <c r="D336" s="56">
        <v>42623</v>
      </c>
      <c r="E336" s="56">
        <v>42988</v>
      </c>
      <c r="F336" s="8">
        <v>1330.38</v>
      </c>
      <c r="G336" s="8">
        <v>1330.38</v>
      </c>
      <c r="H336" s="56">
        <v>43008</v>
      </c>
      <c r="I336" s="24">
        <v>1330.38</v>
      </c>
      <c r="J336" s="77"/>
    </row>
    <row r="337" spans="1:11" ht="24" x14ac:dyDescent="0.25">
      <c r="A337" s="115">
        <v>321</v>
      </c>
      <c r="B337" s="60" t="s">
        <v>195</v>
      </c>
      <c r="C337" s="10" t="str">
        <f>"4/2015-MUP-323"</f>
        <v>4/2015-MUP-323</v>
      </c>
      <c r="D337" s="56">
        <v>42622</v>
      </c>
      <c r="E337" s="56">
        <v>42987</v>
      </c>
      <c r="F337" s="8">
        <v>460.48</v>
      </c>
      <c r="G337" s="8">
        <v>460.48</v>
      </c>
      <c r="H337" s="56">
        <v>43008</v>
      </c>
      <c r="I337" s="24">
        <v>460.48</v>
      </c>
      <c r="J337" s="77"/>
      <c r="K337" s="48"/>
    </row>
    <row r="338" spans="1:11" ht="24" x14ac:dyDescent="0.25">
      <c r="A338" s="115">
        <v>322</v>
      </c>
      <c r="B338" s="60" t="s">
        <v>195</v>
      </c>
      <c r="C338" s="10" t="str">
        <f>"4/2015-MUP-322"</f>
        <v>4/2015-MUP-322</v>
      </c>
      <c r="D338" s="56">
        <v>42621</v>
      </c>
      <c r="E338" s="56">
        <v>42986</v>
      </c>
      <c r="F338" s="8">
        <v>564.4</v>
      </c>
      <c r="G338" s="8">
        <v>564.4</v>
      </c>
      <c r="H338" s="56">
        <v>43008</v>
      </c>
      <c r="I338" s="24">
        <v>564.4</v>
      </c>
      <c r="J338" s="77"/>
    </row>
    <row r="339" spans="1:11" ht="24" x14ac:dyDescent="0.25">
      <c r="A339" s="115">
        <v>323</v>
      </c>
      <c r="B339" s="60" t="s">
        <v>195</v>
      </c>
      <c r="C339" s="10" t="str">
        <f>"4/2015-MUP-321"</f>
        <v>4/2015-MUP-321</v>
      </c>
      <c r="D339" s="56">
        <v>42620</v>
      </c>
      <c r="E339" s="56">
        <v>42985</v>
      </c>
      <c r="F339" s="8">
        <v>1076.24</v>
      </c>
      <c r="G339" s="8">
        <v>1076.24</v>
      </c>
      <c r="H339" s="56">
        <v>43008</v>
      </c>
      <c r="I339" s="24">
        <v>1076.24</v>
      </c>
      <c r="J339" s="77"/>
    </row>
    <row r="340" spans="1:11" ht="24" x14ac:dyDescent="0.25">
      <c r="A340" s="115">
        <v>324</v>
      </c>
      <c r="B340" s="60" t="s">
        <v>195</v>
      </c>
      <c r="C340" s="10" t="str">
        <f>"4/2015-MUP-320"</f>
        <v>4/2015-MUP-320</v>
      </c>
      <c r="D340" s="56">
        <v>42618</v>
      </c>
      <c r="E340" s="56">
        <v>42983</v>
      </c>
      <c r="F340" s="8">
        <v>3027.06</v>
      </c>
      <c r="G340" s="8">
        <v>3027.06</v>
      </c>
      <c r="H340" s="56">
        <v>43008</v>
      </c>
      <c r="I340" s="24">
        <v>3027.06</v>
      </c>
      <c r="J340" s="77"/>
      <c r="K340" s="48"/>
    </row>
    <row r="341" spans="1:11" ht="24" x14ac:dyDescent="0.25">
      <c r="A341" s="115">
        <v>325</v>
      </c>
      <c r="B341" s="60" t="s">
        <v>195</v>
      </c>
      <c r="C341" s="10" t="str">
        <f>"4/2015-MUP-319"</f>
        <v>4/2015-MUP-319</v>
      </c>
      <c r="D341" s="56">
        <v>42617</v>
      </c>
      <c r="E341" s="56">
        <v>42982</v>
      </c>
      <c r="F341" s="8">
        <v>1173.99</v>
      </c>
      <c r="G341" s="8">
        <v>1173.99</v>
      </c>
      <c r="H341" s="56">
        <v>43008</v>
      </c>
      <c r="I341" s="24">
        <v>1173.99</v>
      </c>
      <c r="J341" s="77"/>
    </row>
    <row r="342" spans="1:11" ht="24" x14ac:dyDescent="0.25">
      <c r="A342" s="115">
        <v>326</v>
      </c>
      <c r="B342" s="60" t="s">
        <v>195</v>
      </c>
      <c r="C342" s="10" t="str">
        <f>"4/2015-MUIP-318"</f>
        <v>4/2015-MUIP-318</v>
      </c>
      <c r="D342" s="56">
        <v>42616</v>
      </c>
      <c r="E342" s="56">
        <v>42981</v>
      </c>
      <c r="F342" s="8">
        <v>2784.66</v>
      </c>
      <c r="G342" s="8">
        <v>2784.66</v>
      </c>
      <c r="H342" s="56">
        <v>43008</v>
      </c>
      <c r="I342" s="24">
        <v>2784.66</v>
      </c>
      <c r="J342" s="77"/>
    </row>
    <row r="343" spans="1:11" ht="24" x14ac:dyDescent="0.25">
      <c r="A343" s="115">
        <v>327</v>
      </c>
      <c r="B343" s="60" t="s">
        <v>187</v>
      </c>
      <c r="C343" s="10" t="str">
        <f>"802/02-16/04OS-U2"</f>
        <v>802/02-16/04OS-U2</v>
      </c>
      <c r="D343" s="56">
        <v>42615</v>
      </c>
      <c r="E343" s="56">
        <v>42978</v>
      </c>
      <c r="F343" s="8">
        <v>88000</v>
      </c>
      <c r="G343" s="8">
        <v>110000</v>
      </c>
      <c r="H343" s="56">
        <v>42916</v>
      </c>
      <c r="I343" s="24">
        <v>36875.93</v>
      </c>
      <c r="J343" s="77"/>
      <c r="K343" s="48"/>
    </row>
    <row r="344" spans="1:11" ht="24" x14ac:dyDescent="0.25">
      <c r="A344" s="115">
        <v>328</v>
      </c>
      <c r="B344" s="60" t="s">
        <v>195</v>
      </c>
      <c r="C344" s="10" t="str">
        <f>"4/2015-MUP-317"</f>
        <v>4/2015-MUP-317</v>
      </c>
      <c r="D344" s="56">
        <v>42615</v>
      </c>
      <c r="E344" s="56">
        <v>42980</v>
      </c>
      <c r="F344" s="8">
        <v>4611.22</v>
      </c>
      <c r="G344" s="8">
        <v>4611.22</v>
      </c>
      <c r="H344" s="56">
        <v>43008</v>
      </c>
      <c r="I344" s="24">
        <v>4611.22</v>
      </c>
      <c r="J344" s="77"/>
    </row>
    <row r="345" spans="1:11" ht="24" x14ac:dyDescent="0.25">
      <c r="A345" s="115">
        <v>329</v>
      </c>
      <c r="B345" s="60" t="s">
        <v>195</v>
      </c>
      <c r="C345" s="10" t="str">
        <f>"4/2015-MUP-344"</f>
        <v>4/2015-MUP-344</v>
      </c>
      <c r="D345" s="56">
        <v>42614</v>
      </c>
      <c r="E345" s="56">
        <v>42979</v>
      </c>
      <c r="F345" s="8">
        <v>543.82000000000005</v>
      </c>
      <c r="G345" s="8">
        <v>543.82000000000005</v>
      </c>
      <c r="H345" s="56">
        <v>43008</v>
      </c>
      <c r="I345" s="24">
        <v>543.82000000000005</v>
      </c>
      <c r="J345" s="77"/>
    </row>
    <row r="346" spans="1:11" ht="24" x14ac:dyDescent="0.25">
      <c r="A346" s="115">
        <v>330</v>
      </c>
      <c r="B346" s="60" t="s">
        <v>17</v>
      </c>
      <c r="C346" s="10" t="str">
        <f>"POL 004700000297"</f>
        <v>POL 004700000297</v>
      </c>
      <c r="D346" s="56">
        <v>42613</v>
      </c>
      <c r="E346" s="56">
        <v>42978</v>
      </c>
      <c r="F346" s="8">
        <v>4623.84</v>
      </c>
      <c r="G346" s="8">
        <v>5086.22</v>
      </c>
      <c r="H346" s="56">
        <v>42978</v>
      </c>
      <c r="I346" s="24">
        <v>4623.84</v>
      </c>
      <c r="J346" s="77"/>
      <c r="K346" s="48"/>
    </row>
    <row r="347" spans="1:11" ht="24" x14ac:dyDescent="0.25">
      <c r="A347" s="115">
        <v>331</v>
      </c>
      <c r="B347" s="60" t="s">
        <v>17</v>
      </c>
      <c r="C347" s="10" t="str">
        <f>"POL 004700000298"</f>
        <v>POL 004700000298</v>
      </c>
      <c r="D347" s="56">
        <v>42613</v>
      </c>
      <c r="E347" s="56">
        <v>42978</v>
      </c>
      <c r="F347" s="8">
        <v>4623.84</v>
      </c>
      <c r="G347" s="8">
        <v>5086.22</v>
      </c>
      <c r="H347" s="56">
        <v>42978</v>
      </c>
      <c r="I347" s="24">
        <v>4623.84</v>
      </c>
      <c r="J347" s="77"/>
    </row>
    <row r="348" spans="1:11" ht="36" x14ac:dyDescent="0.25">
      <c r="A348" s="115">
        <v>332</v>
      </c>
      <c r="B348" s="60" t="s">
        <v>17</v>
      </c>
      <c r="C348" s="10" t="str">
        <f>"POL  O004700000299"</f>
        <v>POL  O004700000299</v>
      </c>
      <c r="D348" s="56">
        <v>42613</v>
      </c>
      <c r="E348" s="56">
        <v>42978</v>
      </c>
      <c r="F348" s="8">
        <v>3306.41</v>
      </c>
      <c r="G348" s="8">
        <v>3637.05</v>
      </c>
      <c r="H348" s="56">
        <v>42978</v>
      </c>
      <c r="I348" s="24">
        <v>3306.41</v>
      </c>
      <c r="J348" s="77"/>
    </row>
    <row r="349" spans="1:11" ht="24" x14ac:dyDescent="0.25">
      <c r="A349" s="115">
        <v>333</v>
      </c>
      <c r="B349" s="60" t="s">
        <v>195</v>
      </c>
      <c r="C349" s="10" t="str">
        <f>"4/2015-MUP-316"</f>
        <v>4/2015-MUP-316</v>
      </c>
      <c r="D349" s="56">
        <v>42613</v>
      </c>
      <c r="E349" s="56">
        <v>42978</v>
      </c>
      <c r="F349" s="8">
        <v>1507.3</v>
      </c>
      <c r="G349" s="8">
        <v>1507.3</v>
      </c>
      <c r="H349" s="56">
        <v>43008</v>
      </c>
      <c r="I349" s="24">
        <v>1507.3</v>
      </c>
      <c r="J349" s="77"/>
      <c r="K349" s="48"/>
    </row>
    <row r="350" spans="1:11" ht="24" x14ac:dyDescent="0.25">
      <c r="A350" s="115">
        <v>334</v>
      </c>
      <c r="B350" s="60" t="s">
        <v>195</v>
      </c>
      <c r="C350" s="10" t="str">
        <f>"4/2015-MUP-315"</f>
        <v>4/2015-MUP-315</v>
      </c>
      <c r="D350" s="56">
        <v>42612</v>
      </c>
      <c r="E350" s="56">
        <v>42977</v>
      </c>
      <c r="F350" s="8">
        <v>2878.62</v>
      </c>
      <c r="G350" s="8">
        <v>2878.62</v>
      </c>
      <c r="H350" s="56">
        <v>43008</v>
      </c>
      <c r="I350" s="24">
        <v>2878.62</v>
      </c>
      <c r="J350" s="77"/>
    </row>
    <row r="351" spans="1:11" ht="24" x14ac:dyDescent="0.25">
      <c r="A351" s="115">
        <v>335</v>
      </c>
      <c r="B351" s="60" t="s">
        <v>210</v>
      </c>
      <c r="C351" s="10" t="str">
        <f>"4/2015 - PU - 35"</f>
        <v>4/2015 - PU - 35</v>
      </c>
      <c r="D351" s="56">
        <v>42611</v>
      </c>
      <c r="E351" s="56">
        <v>42976</v>
      </c>
      <c r="F351" s="8">
        <v>122.29</v>
      </c>
      <c r="G351" s="8">
        <v>122.29</v>
      </c>
      <c r="H351" s="56">
        <v>42976</v>
      </c>
      <c r="I351" s="24">
        <v>122.29</v>
      </c>
      <c r="J351" s="77"/>
    </row>
    <row r="352" spans="1:11" ht="24" x14ac:dyDescent="0.25">
      <c r="A352" s="115">
        <v>336</v>
      </c>
      <c r="B352" s="60" t="s">
        <v>195</v>
      </c>
      <c r="C352" s="10" t="str">
        <f>"4/2015-MUP-314"</f>
        <v>4/2015-MUP-314</v>
      </c>
      <c r="D352" s="56">
        <v>42611</v>
      </c>
      <c r="E352" s="56">
        <v>42976</v>
      </c>
      <c r="F352" s="8">
        <v>2736.03</v>
      </c>
      <c r="G352" s="8">
        <v>2736.03</v>
      </c>
      <c r="H352" s="56">
        <v>43008</v>
      </c>
      <c r="I352" s="24">
        <v>2736.03</v>
      </c>
      <c r="J352" s="77"/>
      <c r="K352" s="48"/>
    </row>
    <row r="353" spans="1:11" ht="24" x14ac:dyDescent="0.25">
      <c r="A353" s="115">
        <v>337</v>
      </c>
      <c r="B353" s="60" t="s">
        <v>195</v>
      </c>
      <c r="C353" s="10" t="str">
        <f>"4/2015-MUP-313"</f>
        <v>4/2015-MUP-313</v>
      </c>
      <c r="D353" s="56">
        <v>42610</v>
      </c>
      <c r="E353" s="56">
        <v>42975</v>
      </c>
      <c r="F353" s="8">
        <v>830.81</v>
      </c>
      <c r="G353" s="8">
        <v>830.81</v>
      </c>
      <c r="H353" s="56">
        <v>43008</v>
      </c>
      <c r="I353" s="24">
        <v>830.81</v>
      </c>
      <c r="J353" s="77"/>
    </row>
    <row r="354" spans="1:11" ht="24" x14ac:dyDescent="0.25">
      <c r="A354" s="115">
        <v>338</v>
      </c>
      <c r="B354" s="60" t="s">
        <v>17</v>
      </c>
      <c r="C354" s="10" t="str">
        <f>"POL 17000107316"</f>
        <v>POL 17000107316</v>
      </c>
      <c r="D354" s="56">
        <v>42607</v>
      </c>
      <c r="E354" s="56">
        <v>42972</v>
      </c>
      <c r="F354" s="8">
        <v>679.36</v>
      </c>
      <c r="G354" s="8">
        <v>781.26</v>
      </c>
      <c r="H354" s="56">
        <v>42972</v>
      </c>
      <c r="I354" s="24">
        <v>679.36</v>
      </c>
      <c r="J354" s="77"/>
    </row>
    <row r="355" spans="1:11" ht="24" x14ac:dyDescent="0.25">
      <c r="A355" s="115">
        <v>339</v>
      </c>
      <c r="B355" s="60" t="s">
        <v>195</v>
      </c>
      <c r="C355" s="10" t="str">
        <f>"4/2015-MUP-312"</f>
        <v>4/2015-MUP-312</v>
      </c>
      <c r="D355" s="56">
        <v>42609</v>
      </c>
      <c r="E355" s="56">
        <v>42974</v>
      </c>
      <c r="F355" s="8">
        <v>1285.53</v>
      </c>
      <c r="G355" s="8">
        <v>1285.53</v>
      </c>
      <c r="H355" s="56">
        <v>43008</v>
      </c>
      <c r="I355" s="24">
        <v>1285.53</v>
      </c>
      <c r="J355" s="77"/>
      <c r="K355" s="48"/>
    </row>
    <row r="356" spans="1:11" ht="24" x14ac:dyDescent="0.25">
      <c r="A356" s="115">
        <v>340</v>
      </c>
      <c r="B356" s="60" t="s">
        <v>195</v>
      </c>
      <c r="C356" s="10" t="str">
        <f>"4/2015-MUP-311"</f>
        <v>4/2015-MUP-311</v>
      </c>
      <c r="D356" s="56">
        <v>42608</v>
      </c>
      <c r="E356" s="56">
        <v>42973</v>
      </c>
      <c r="F356" s="8">
        <v>1436.15</v>
      </c>
      <c r="G356" s="8">
        <v>1436.15</v>
      </c>
      <c r="H356" s="56">
        <v>43008</v>
      </c>
      <c r="I356" s="24">
        <v>1436.15</v>
      </c>
      <c r="J356" s="77"/>
    </row>
    <row r="357" spans="1:11" ht="24" x14ac:dyDescent="0.25">
      <c r="A357" s="115">
        <v>341</v>
      </c>
      <c r="B357" s="60" t="s">
        <v>195</v>
      </c>
      <c r="C357" s="10" t="str">
        <f>"4/2015-MUP-310"</f>
        <v>4/2015-MUP-310</v>
      </c>
      <c r="D357" s="56">
        <v>42607</v>
      </c>
      <c r="E357" s="56">
        <v>42972</v>
      </c>
      <c r="F357" s="8">
        <v>1764.94</v>
      </c>
      <c r="G357" s="8">
        <v>1764.94</v>
      </c>
      <c r="H357" s="56">
        <v>43008</v>
      </c>
      <c r="I357" s="24">
        <v>1764.94</v>
      </c>
      <c r="J357" s="77"/>
    </row>
    <row r="358" spans="1:11" ht="24" x14ac:dyDescent="0.25">
      <c r="A358" s="115">
        <v>342</v>
      </c>
      <c r="B358" s="60" t="s">
        <v>195</v>
      </c>
      <c r="C358" s="10" t="str">
        <f>"4/2015-MUP-308"</f>
        <v>4/2015-MUP-308</v>
      </c>
      <c r="D358" s="56">
        <v>42604</v>
      </c>
      <c r="E358" s="56">
        <v>42969</v>
      </c>
      <c r="F358" s="8">
        <v>4428.22</v>
      </c>
      <c r="G358" s="8">
        <v>4428.22</v>
      </c>
      <c r="H358" s="56">
        <v>43008</v>
      </c>
      <c r="I358" s="24">
        <v>4428.22</v>
      </c>
      <c r="J358" s="77"/>
      <c r="K358" s="48"/>
    </row>
    <row r="359" spans="1:11" ht="24" x14ac:dyDescent="0.25">
      <c r="A359" s="115">
        <v>343</v>
      </c>
      <c r="B359" s="60" t="s">
        <v>195</v>
      </c>
      <c r="C359" s="10" t="str">
        <f>"4/2015-MUP-307"</f>
        <v>4/2015-MUP-307</v>
      </c>
      <c r="D359" s="56">
        <v>42603</v>
      </c>
      <c r="E359" s="56">
        <v>42968</v>
      </c>
      <c r="F359" s="8">
        <v>553.65</v>
      </c>
      <c r="G359" s="8">
        <v>553.65</v>
      </c>
      <c r="H359" s="56">
        <v>43008</v>
      </c>
      <c r="I359" s="24">
        <v>553.65</v>
      </c>
      <c r="J359" s="77"/>
    </row>
    <row r="360" spans="1:11" ht="24" x14ac:dyDescent="0.25">
      <c r="A360" s="115">
        <v>344</v>
      </c>
      <c r="B360" s="60" t="s">
        <v>195</v>
      </c>
      <c r="C360" s="10" t="str">
        <f>"4/2015-MUP-306"</f>
        <v>4/2015-MUP-306</v>
      </c>
      <c r="D360" s="56">
        <v>42602</v>
      </c>
      <c r="E360" s="56">
        <v>42967</v>
      </c>
      <c r="F360" s="8">
        <v>2460.9699999999998</v>
      </c>
      <c r="G360" s="8">
        <v>2460.9699999999998</v>
      </c>
      <c r="H360" s="56">
        <v>43008</v>
      </c>
      <c r="I360" s="24">
        <v>2460.9699999999998</v>
      </c>
      <c r="J360" s="77"/>
    </row>
    <row r="361" spans="1:11" ht="24" x14ac:dyDescent="0.25">
      <c r="A361" s="115">
        <v>345</v>
      </c>
      <c r="B361" s="60" t="s">
        <v>195</v>
      </c>
      <c r="C361" s="10" t="str">
        <f>"4/2015-MUP-305"</f>
        <v>4/2015-MUP-305</v>
      </c>
      <c r="D361" s="56">
        <v>42601</v>
      </c>
      <c r="E361" s="56">
        <v>42966</v>
      </c>
      <c r="F361" s="8">
        <v>933.49</v>
      </c>
      <c r="G361" s="8">
        <v>933.49</v>
      </c>
      <c r="H361" s="56">
        <v>43008</v>
      </c>
      <c r="I361" s="24">
        <v>933.49</v>
      </c>
      <c r="J361" s="77"/>
      <c r="K361" s="48"/>
    </row>
    <row r="362" spans="1:11" ht="24" x14ac:dyDescent="0.25">
      <c r="A362" s="115">
        <v>346</v>
      </c>
      <c r="B362" s="60" t="s">
        <v>195</v>
      </c>
      <c r="C362" s="10" t="str">
        <f>"4/2015-MUP-304"</f>
        <v>4/2015-MUP-304</v>
      </c>
      <c r="D362" s="56">
        <v>42600</v>
      </c>
      <c r="E362" s="56">
        <v>42965</v>
      </c>
      <c r="F362" s="8">
        <v>1206.27</v>
      </c>
      <c r="G362" s="8">
        <v>1206.27</v>
      </c>
      <c r="H362" s="56">
        <v>43008</v>
      </c>
      <c r="I362" s="24">
        <v>1206.27</v>
      </c>
      <c r="J362" s="77"/>
    </row>
    <row r="363" spans="1:11" ht="24" x14ac:dyDescent="0.25">
      <c r="A363" s="115">
        <v>347</v>
      </c>
      <c r="B363" s="60" t="s">
        <v>195</v>
      </c>
      <c r="C363" s="10" t="str">
        <f>"4/2015-MUP-303"</f>
        <v>4/2015-MUP-303</v>
      </c>
      <c r="D363" s="56">
        <v>42599</v>
      </c>
      <c r="E363" s="56">
        <v>42964</v>
      </c>
      <c r="F363" s="8">
        <v>782.23</v>
      </c>
      <c r="G363" s="8">
        <v>782.23</v>
      </c>
      <c r="H363" s="56">
        <v>43008</v>
      </c>
      <c r="I363" s="24">
        <v>782.23</v>
      </c>
      <c r="J363" s="77"/>
    </row>
    <row r="364" spans="1:11" ht="24" x14ac:dyDescent="0.25">
      <c r="A364" s="115">
        <v>348</v>
      </c>
      <c r="B364" s="60" t="s">
        <v>195</v>
      </c>
      <c r="C364" s="10" t="str">
        <f>"4/2015-MUP-302"</f>
        <v>4/2015-MUP-302</v>
      </c>
      <c r="D364" s="56">
        <v>42598</v>
      </c>
      <c r="E364" s="56">
        <v>42963</v>
      </c>
      <c r="F364" s="8">
        <v>208.54</v>
      </c>
      <c r="G364" s="8">
        <v>208.54</v>
      </c>
      <c r="H364" s="56">
        <v>43008</v>
      </c>
      <c r="I364" s="24">
        <v>208.54</v>
      </c>
      <c r="J364" s="77"/>
      <c r="K364" s="48"/>
    </row>
    <row r="365" spans="1:11" ht="24" x14ac:dyDescent="0.25">
      <c r="A365" s="115">
        <v>349</v>
      </c>
      <c r="B365" s="60" t="s">
        <v>195</v>
      </c>
      <c r="C365" s="10" t="str">
        <f>"4/2015-MUP-301"</f>
        <v>4/2015-MUP-301</v>
      </c>
      <c r="D365" s="56">
        <v>42596</v>
      </c>
      <c r="E365" s="56">
        <v>42961</v>
      </c>
      <c r="F365" s="8">
        <v>648.37</v>
      </c>
      <c r="G365" s="8">
        <v>648.37</v>
      </c>
      <c r="H365" s="56">
        <v>43008</v>
      </c>
      <c r="I365" s="24">
        <v>648.37</v>
      </c>
      <c r="J365" s="77"/>
    </row>
    <row r="366" spans="1:11" ht="24" x14ac:dyDescent="0.25">
      <c r="A366" s="115">
        <v>350</v>
      </c>
      <c r="B366" s="60" t="s">
        <v>195</v>
      </c>
      <c r="C366" s="10" t="str">
        <f>"4/2015-MUP-300"</f>
        <v>4/2015-MUP-300</v>
      </c>
      <c r="D366" s="56">
        <v>42595</v>
      </c>
      <c r="E366" s="56">
        <v>42960</v>
      </c>
      <c r="F366" s="8">
        <v>417.24</v>
      </c>
      <c r="G366" s="8">
        <v>417.24</v>
      </c>
      <c r="H366" s="56">
        <v>43008</v>
      </c>
      <c r="I366" s="24">
        <v>417.24</v>
      </c>
      <c r="J366" s="77"/>
    </row>
    <row r="367" spans="1:11" ht="24" x14ac:dyDescent="0.25">
      <c r="A367" s="115">
        <v>351</v>
      </c>
      <c r="B367" s="60" t="s">
        <v>195</v>
      </c>
      <c r="C367" s="10" t="str">
        <f>"4/2015-MUP-299"</f>
        <v>4/2015-MUP-299</v>
      </c>
      <c r="D367" s="56">
        <v>42594</v>
      </c>
      <c r="E367" s="56">
        <v>42959</v>
      </c>
      <c r="F367" s="8">
        <v>725.15</v>
      </c>
      <c r="G367" s="8">
        <v>725.15</v>
      </c>
      <c r="H367" s="56">
        <v>43008</v>
      </c>
      <c r="I367" s="24">
        <v>725.15</v>
      </c>
      <c r="J367" s="77"/>
      <c r="K367" s="48"/>
    </row>
    <row r="368" spans="1:11" ht="24" x14ac:dyDescent="0.25">
      <c r="A368" s="115">
        <v>352</v>
      </c>
      <c r="B368" s="60" t="s">
        <v>17</v>
      </c>
      <c r="C368" s="10" t="str">
        <f>"POL 17000105780"</f>
        <v>POL 17000105780</v>
      </c>
      <c r="D368" s="56">
        <v>42594</v>
      </c>
      <c r="E368" s="56">
        <v>42959</v>
      </c>
      <c r="F368" s="8">
        <v>339.68</v>
      </c>
      <c r="G368" s="8">
        <v>380.83</v>
      </c>
      <c r="H368" s="56">
        <v>42959</v>
      </c>
      <c r="I368" s="24">
        <v>339.68</v>
      </c>
      <c r="J368" s="77"/>
    </row>
    <row r="369" spans="1:11" ht="24" x14ac:dyDescent="0.25">
      <c r="A369" s="115">
        <v>353</v>
      </c>
      <c r="B369" s="60" t="s">
        <v>195</v>
      </c>
      <c r="C369" s="10" t="str">
        <f>"4/2015-MUP-298"</f>
        <v>4/2015-MUP-298</v>
      </c>
      <c r="D369" s="56">
        <v>42593</v>
      </c>
      <c r="E369" s="56">
        <v>42958</v>
      </c>
      <c r="F369" s="8">
        <v>466.61</v>
      </c>
      <c r="G369" s="8">
        <v>466.61</v>
      </c>
      <c r="H369" s="56">
        <v>43008</v>
      </c>
      <c r="I369" s="24">
        <v>466.61</v>
      </c>
      <c r="J369" s="77"/>
    </row>
    <row r="370" spans="1:11" ht="24" x14ac:dyDescent="0.25">
      <c r="A370" s="115">
        <v>354</v>
      </c>
      <c r="B370" s="60" t="s">
        <v>195</v>
      </c>
      <c r="C370" s="10" t="str">
        <f>"4/2015-MUP-297"</f>
        <v>4/2015-MUP-297</v>
      </c>
      <c r="D370" s="56">
        <v>42592</v>
      </c>
      <c r="E370" s="56">
        <v>42957</v>
      </c>
      <c r="F370" s="8">
        <v>687.06</v>
      </c>
      <c r="G370" s="8">
        <v>687.06</v>
      </c>
      <c r="H370" s="56">
        <v>43008</v>
      </c>
      <c r="I370" s="24">
        <v>687.06</v>
      </c>
      <c r="J370" s="77"/>
      <c r="K370" s="48"/>
    </row>
    <row r="371" spans="1:11" ht="24" x14ac:dyDescent="0.25">
      <c r="A371" s="115">
        <v>355</v>
      </c>
      <c r="B371" s="60" t="s">
        <v>195</v>
      </c>
      <c r="C371" s="10" t="str">
        <f>"4/2015-MUP-296"</f>
        <v>4/2015-MUP-296</v>
      </c>
      <c r="D371" s="56">
        <v>42591</v>
      </c>
      <c r="E371" s="56">
        <v>42956</v>
      </c>
      <c r="F371" s="8">
        <v>450.15</v>
      </c>
      <c r="G371" s="8">
        <v>450.15</v>
      </c>
      <c r="H371" s="56">
        <v>43008</v>
      </c>
      <c r="I371" s="24">
        <v>450.15</v>
      </c>
      <c r="J371" s="77"/>
    </row>
    <row r="372" spans="1:11" ht="24" x14ac:dyDescent="0.25">
      <c r="A372" s="115">
        <v>356</v>
      </c>
      <c r="B372" s="60" t="s">
        <v>195</v>
      </c>
      <c r="C372" s="10" t="str">
        <f>"4/2015-MUP-294"</f>
        <v>4/2015-MUP-294</v>
      </c>
      <c r="D372" s="56">
        <v>42588</v>
      </c>
      <c r="E372" s="56">
        <v>42953</v>
      </c>
      <c r="F372" s="8">
        <v>1098.51</v>
      </c>
      <c r="G372" s="8">
        <v>1098.51</v>
      </c>
      <c r="H372" s="56">
        <v>43008</v>
      </c>
      <c r="I372" s="24">
        <v>1098.51</v>
      </c>
      <c r="J372" s="77"/>
    </row>
    <row r="373" spans="1:11" ht="24" x14ac:dyDescent="0.25">
      <c r="A373" s="115">
        <v>357</v>
      </c>
      <c r="B373" s="60" t="s">
        <v>195</v>
      </c>
      <c r="C373" s="10" t="str">
        <f>"4/2015-MUP-293"</f>
        <v>4/2015-MUP-293</v>
      </c>
      <c r="D373" s="56">
        <v>42586</v>
      </c>
      <c r="E373" s="56">
        <v>42951</v>
      </c>
      <c r="F373" s="8">
        <v>174.9</v>
      </c>
      <c r="G373" s="8">
        <v>174.9</v>
      </c>
      <c r="H373" s="56">
        <v>43008</v>
      </c>
      <c r="I373" s="24">
        <v>174.9</v>
      </c>
      <c r="J373" s="77"/>
      <c r="K373" s="48"/>
    </row>
    <row r="374" spans="1:11" ht="24" x14ac:dyDescent="0.25">
      <c r="A374" s="115">
        <v>358</v>
      </c>
      <c r="B374" s="60" t="s">
        <v>195</v>
      </c>
      <c r="C374" s="10" t="str">
        <f>"4/2015-MUP-292"</f>
        <v>4/2015-MUP-292</v>
      </c>
      <c r="D374" s="56">
        <v>42585</v>
      </c>
      <c r="E374" s="56">
        <v>42950</v>
      </c>
      <c r="F374" s="8">
        <v>246.98</v>
      </c>
      <c r="G374" s="8">
        <v>246.98</v>
      </c>
      <c r="H374" s="56">
        <v>43008</v>
      </c>
      <c r="I374" s="24">
        <v>246.98</v>
      </c>
      <c r="J374" s="77"/>
    </row>
    <row r="375" spans="1:11" ht="24" x14ac:dyDescent="0.25">
      <c r="A375" s="115">
        <v>359</v>
      </c>
      <c r="B375" s="60" t="s">
        <v>195</v>
      </c>
      <c r="C375" s="10" t="str">
        <f>"4/2015-MUP-291"</f>
        <v>4/2015-MUP-291</v>
      </c>
      <c r="D375" s="56">
        <v>42584</v>
      </c>
      <c r="E375" s="56">
        <v>42949</v>
      </c>
      <c r="F375" s="8">
        <v>111.84</v>
      </c>
      <c r="G375" s="8">
        <v>111.84</v>
      </c>
      <c r="H375" s="56">
        <v>43008</v>
      </c>
      <c r="I375" s="24">
        <v>111.84</v>
      </c>
      <c r="J375" s="77"/>
    </row>
    <row r="376" spans="1:11" ht="24" x14ac:dyDescent="0.25">
      <c r="A376" s="115">
        <v>360</v>
      </c>
      <c r="B376" s="60" t="s">
        <v>195</v>
      </c>
      <c r="C376" s="10" t="str">
        <f>"4/2015-MUP-290"</f>
        <v>4/2015-MUP-290</v>
      </c>
      <c r="D376" s="56">
        <v>42583</v>
      </c>
      <c r="E376" s="56">
        <v>42948</v>
      </c>
      <c r="F376" s="8">
        <v>1694.5</v>
      </c>
      <c r="G376" s="8">
        <v>1694.5</v>
      </c>
      <c r="H376" s="56">
        <v>43008</v>
      </c>
      <c r="I376" s="24">
        <v>1694.5</v>
      </c>
      <c r="J376" s="77"/>
      <c r="K376" s="48"/>
    </row>
    <row r="377" spans="1:11" ht="24" x14ac:dyDescent="0.25">
      <c r="A377" s="115">
        <v>361</v>
      </c>
      <c r="B377" s="60" t="s">
        <v>195</v>
      </c>
      <c r="C377" s="10" t="str">
        <f>"4/2015-MUP-289"</f>
        <v>4/2015-MUP-289</v>
      </c>
      <c r="D377" s="56">
        <v>42582</v>
      </c>
      <c r="E377" s="56">
        <v>42947</v>
      </c>
      <c r="F377" s="8">
        <v>636.08000000000004</v>
      </c>
      <c r="G377" s="8">
        <v>636.08000000000004</v>
      </c>
      <c r="H377" s="56">
        <v>43008</v>
      </c>
      <c r="I377" s="24">
        <v>636.08000000000004</v>
      </c>
      <c r="J377" s="77"/>
    </row>
    <row r="378" spans="1:11" ht="24" x14ac:dyDescent="0.25">
      <c r="A378" s="115">
        <v>362</v>
      </c>
      <c r="B378" s="60" t="s">
        <v>195</v>
      </c>
      <c r="C378" s="10" t="str">
        <f>"4/2015-MUP-288"</f>
        <v>4/2015-MUP-288</v>
      </c>
      <c r="D378" s="56">
        <v>42581</v>
      </c>
      <c r="E378" s="56">
        <v>42946</v>
      </c>
      <c r="F378" s="8">
        <v>5464.9</v>
      </c>
      <c r="G378" s="8">
        <v>5464.9</v>
      </c>
      <c r="H378" s="56">
        <v>43008</v>
      </c>
      <c r="I378" s="24">
        <v>5464.9</v>
      </c>
      <c r="J378" s="77"/>
    </row>
    <row r="379" spans="1:11" ht="24" x14ac:dyDescent="0.25">
      <c r="A379" s="115">
        <v>363</v>
      </c>
      <c r="B379" s="60" t="s">
        <v>195</v>
      </c>
      <c r="C379" s="10" t="str">
        <f>"4/2015-MUP-287"</f>
        <v>4/2015-MUP-287</v>
      </c>
      <c r="D379" s="56">
        <v>42580</v>
      </c>
      <c r="E379" s="56">
        <v>42945</v>
      </c>
      <c r="F379" s="8">
        <v>955.05</v>
      </c>
      <c r="G379" s="8">
        <v>955.05</v>
      </c>
      <c r="H379" s="56">
        <v>43008</v>
      </c>
      <c r="I379" s="24">
        <v>955.05</v>
      </c>
      <c r="J379" s="77"/>
      <c r="K379" s="48"/>
    </row>
    <row r="380" spans="1:11" ht="24" x14ac:dyDescent="0.25">
      <c r="A380" s="115">
        <v>364</v>
      </c>
      <c r="B380" s="60" t="s">
        <v>195</v>
      </c>
      <c r="C380" s="10" t="str">
        <f>"4/2015-MUP-286"</f>
        <v>4/2015-MUP-286</v>
      </c>
      <c r="D380" s="56">
        <v>42579</v>
      </c>
      <c r="E380" s="56">
        <v>42944</v>
      </c>
      <c r="F380" s="8">
        <v>3954.32</v>
      </c>
      <c r="G380" s="8">
        <v>3954.32</v>
      </c>
      <c r="H380" s="56">
        <v>43008</v>
      </c>
      <c r="I380" s="24">
        <v>3954.32</v>
      </c>
      <c r="J380" s="77"/>
    </row>
    <row r="381" spans="1:11" ht="24" x14ac:dyDescent="0.25">
      <c r="A381" s="115">
        <v>365</v>
      </c>
      <c r="B381" s="60" t="s">
        <v>195</v>
      </c>
      <c r="C381" s="10" t="str">
        <f>"4/2015-MUP-285"</f>
        <v>4/2015-MUP-285</v>
      </c>
      <c r="D381" s="56">
        <v>42578</v>
      </c>
      <c r="E381" s="56">
        <v>42943</v>
      </c>
      <c r="F381" s="8">
        <v>5187.1899999999996</v>
      </c>
      <c r="G381" s="8">
        <v>5187.1899999999996</v>
      </c>
      <c r="H381" s="56">
        <v>43008</v>
      </c>
      <c r="I381" s="24">
        <v>5187.1899999999996</v>
      </c>
      <c r="J381" s="77"/>
    </row>
    <row r="382" spans="1:11" ht="24" x14ac:dyDescent="0.25">
      <c r="A382" s="115">
        <v>366</v>
      </c>
      <c r="B382" s="60" t="s">
        <v>195</v>
      </c>
      <c r="C382" s="10" t="str">
        <f>"4/2015-MUP-284"</f>
        <v>4/2015-MUP-284</v>
      </c>
      <c r="D382" s="56">
        <v>42577</v>
      </c>
      <c r="E382" s="56">
        <v>42942</v>
      </c>
      <c r="F382" s="8">
        <v>2247.71</v>
      </c>
      <c r="G382" s="8">
        <v>2247.71</v>
      </c>
      <c r="H382" s="56">
        <v>43008</v>
      </c>
      <c r="I382" s="24">
        <v>2247.71</v>
      </c>
      <c r="J382" s="77"/>
      <c r="K382" s="48"/>
    </row>
    <row r="383" spans="1:11" x14ac:dyDescent="0.25">
      <c r="A383" s="115">
        <v>367</v>
      </c>
      <c r="B383" s="60" t="s">
        <v>186</v>
      </c>
      <c r="C383" s="10" t="str">
        <f>"017000101446"</f>
        <v>017000101446</v>
      </c>
      <c r="D383" s="56">
        <v>42577</v>
      </c>
      <c r="E383" s="56">
        <v>42942</v>
      </c>
      <c r="F383" s="8">
        <v>167.29</v>
      </c>
      <c r="G383" s="8">
        <v>192.38</v>
      </c>
      <c r="H383" s="56">
        <v>42882</v>
      </c>
      <c r="I383" s="24">
        <v>167.29</v>
      </c>
      <c r="J383" s="77"/>
    </row>
    <row r="384" spans="1:11" ht="24" x14ac:dyDescent="0.25">
      <c r="A384" s="115">
        <v>368</v>
      </c>
      <c r="B384" s="60" t="s">
        <v>195</v>
      </c>
      <c r="C384" s="10" t="str">
        <f>"4/2015-MUP-283"</f>
        <v>4/2015-MUP-283</v>
      </c>
      <c r="D384" s="56">
        <v>42576</v>
      </c>
      <c r="E384" s="56">
        <v>42941</v>
      </c>
      <c r="F384" s="8">
        <v>2813.29</v>
      </c>
      <c r="G384" s="8">
        <v>2813.29</v>
      </c>
      <c r="H384" s="56">
        <v>43008</v>
      </c>
      <c r="I384" s="24">
        <v>2813.29</v>
      </c>
      <c r="J384" s="77"/>
    </row>
    <row r="385" spans="1:11" x14ac:dyDescent="0.25">
      <c r="A385" s="115">
        <v>369</v>
      </c>
      <c r="B385" s="60" t="s">
        <v>186</v>
      </c>
      <c r="C385" s="10" t="str">
        <f>"017000101105"</f>
        <v>017000101105</v>
      </c>
      <c r="D385" s="56">
        <v>42575</v>
      </c>
      <c r="E385" s="56">
        <v>42940</v>
      </c>
      <c r="F385" s="8">
        <v>151.12</v>
      </c>
      <c r="G385" s="8">
        <v>173.79</v>
      </c>
      <c r="H385" s="56">
        <v>42882</v>
      </c>
      <c r="I385" s="24">
        <v>151.12</v>
      </c>
      <c r="J385" s="77"/>
      <c r="K385" s="48"/>
    </row>
    <row r="386" spans="1:11" ht="24" x14ac:dyDescent="0.25">
      <c r="A386" s="115">
        <v>370</v>
      </c>
      <c r="B386" s="60" t="s">
        <v>195</v>
      </c>
      <c r="C386" s="10" t="str">
        <f>"4/2015-MUP-282"</f>
        <v>4/2015-MUP-282</v>
      </c>
      <c r="D386" s="56">
        <v>42575</v>
      </c>
      <c r="E386" s="56">
        <v>42940</v>
      </c>
      <c r="F386" s="8">
        <v>677.41</v>
      </c>
      <c r="G386" s="8">
        <v>677.41</v>
      </c>
      <c r="H386" s="56">
        <v>43008</v>
      </c>
      <c r="I386" s="24">
        <v>677.41</v>
      </c>
      <c r="J386" s="77"/>
    </row>
    <row r="387" spans="1:11" ht="24" x14ac:dyDescent="0.25">
      <c r="A387" s="115">
        <v>371</v>
      </c>
      <c r="B387" s="60" t="s">
        <v>195</v>
      </c>
      <c r="C387" s="10" t="str">
        <f>"4/2015-MUP 281"</f>
        <v>4/2015-MUP 281</v>
      </c>
      <c r="D387" s="56">
        <v>42574</v>
      </c>
      <c r="E387" s="56">
        <v>42939</v>
      </c>
      <c r="F387" s="8">
        <v>1391.06</v>
      </c>
      <c r="G387" s="8">
        <v>1391.06</v>
      </c>
      <c r="H387" s="56">
        <v>43008</v>
      </c>
      <c r="I387" s="24">
        <v>1391.06</v>
      </c>
      <c r="J387" s="77"/>
    </row>
    <row r="388" spans="1:11" ht="24" x14ac:dyDescent="0.25">
      <c r="A388" s="115">
        <v>372</v>
      </c>
      <c r="B388" s="60" t="s">
        <v>195</v>
      </c>
      <c r="C388" s="10" t="str">
        <f>"4/2015-MUP-279"</f>
        <v>4/2015-MUP-279</v>
      </c>
      <c r="D388" s="56">
        <v>42572</v>
      </c>
      <c r="E388" s="56">
        <v>42937</v>
      </c>
      <c r="F388" s="8">
        <v>838</v>
      </c>
      <c r="G388" s="8">
        <v>838</v>
      </c>
      <c r="H388" s="56">
        <v>43008</v>
      </c>
      <c r="I388" s="24">
        <v>838</v>
      </c>
      <c r="J388" s="77"/>
      <c r="K388" s="48"/>
    </row>
    <row r="389" spans="1:11" ht="24" x14ac:dyDescent="0.25">
      <c r="A389" s="115">
        <v>373</v>
      </c>
      <c r="B389" s="60" t="s">
        <v>195</v>
      </c>
      <c r="C389" s="10" t="str">
        <f>"4/2015-MUP-278"</f>
        <v>4/2015-MUP-278</v>
      </c>
      <c r="D389" s="56">
        <v>42571</v>
      </c>
      <c r="E389" s="56">
        <v>42936</v>
      </c>
      <c r="F389" s="8">
        <v>952.85</v>
      </c>
      <c r="G389" s="8">
        <v>952.85</v>
      </c>
      <c r="H389" s="56">
        <v>43008</v>
      </c>
      <c r="I389" s="24">
        <v>952.85</v>
      </c>
      <c r="J389" s="77"/>
    </row>
    <row r="390" spans="1:11" ht="24" x14ac:dyDescent="0.25">
      <c r="A390" s="115">
        <v>374</v>
      </c>
      <c r="B390" s="60" t="s">
        <v>195</v>
      </c>
      <c r="C390" s="10" t="str">
        <f>"4/2015-MUP-280"</f>
        <v>4/2015-MUP-280</v>
      </c>
      <c r="D390" s="56">
        <v>42571</v>
      </c>
      <c r="E390" s="56">
        <v>42936</v>
      </c>
      <c r="F390" s="8">
        <v>2056.16</v>
      </c>
      <c r="G390" s="8">
        <v>2056.16</v>
      </c>
      <c r="H390" s="56">
        <v>43008</v>
      </c>
      <c r="I390" s="24">
        <v>2056.16</v>
      </c>
      <c r="J390" s="77"/>
    </row>
    <row r="391" spans="1:11" x14ac:dyDescent="0.25">
      <c r="A391" s="115">
        <v>375</v>
      </c>
      <c r="B391" s="60" t="s">
        <v>186</v>
      </c>
      <c r="C391" s="10" t="str">
        <f>"017000101075"</f>
        <v>017000101075</v>
      </c>
      <c r="D391" s="56">
        <v>42570</v>
      </c>
      <c r="E391" s="56">
        <v>42935</v>
      </c>
      <c r="F391" s="8">
        <v>151.12</v>
      </c>
      <c r="G391" s="8">
        <v>173.79</v>
      </c>
      <c r="H391" s="56">
        <v>42882</v>
      </c>
      <c r="I391" s="24">
        <v>151.12</v>
      </c>
      <c r="J391" s="77"/>
      <c r="K391" s="48"/>
    </row>
    <row r="392" spans="1:11" ht="24" x14ac:dyDescent="0.25">
      <c r="A392" s="115">
        <v>376</v>
      </c>
      <c r="B392" s="60" t="s">
        <v>195</v>
      </c>
      <c r="C392" s="10" t="str">
        <f>"4/2015-MUP-277"</f>
        <v>4/2015-MUP-277</v>
      </c>
      <c r="D392" s="56">
        <v>42570</v>
      </c>
      <c r="E392" s="56">
        <v>42935</v>
      </c>
      <c r="F392" s="8">
        <v>706.86</v>
      </c>
      <c r="G392" s="8">
        <v>706.86</v>
      </c>
      <c r="H392" s="56">
        <v>43008</v>
      </c>
      <c r="I392" s="24">
        <v>706.86</v>
      </c>
      <c r="J392" s="77"/>
    </row>
    <row r="393" spans="1:11" ht="24" x14ac:dyDescent="0.25">
      <c r="A393" s="115">
        <v>377</v>
      </c>
      <c r="B393" s="60" t="s">
        <v>195</v>
      </c>
      <c r="C393" s="10" t="str">
        <f>"4/2015-MUP-276"</f>
        <v>4/2015-MUP-276</v>
      </c>
      <c r="D393" s="56">
        <v>42569</v>
      </c>
      <c r="E393" s="56">
        <v>42934</v>
      </c>
      <c r="F393" s="8">
        <v>784.23</v>
      </c>
      <c r="G393" s="8">
        <v>784.23</v>
      </c>
      <c r="H393" s="56">
        <v>43008</v>
      </c>
      <c r="I393" s="24">
        <v>784.23</v>
      </c>
      <c r="J393" s="77"/>
    </row>
    <row r="394" spans="1:11" x14ac:dyDescent="0.25">
      <c r="A394" s="115">
        <v>378</v>
      </c>
      <c r="B394" s="60" t="s">
        <v>186</v>
      </c>
      <c r="C394" s="10" t="str">
        <f>"017000101113"</f>
        <v>017000101113</v>
      </c>
      <c r="D394" s="56">
        <v>42569</v>
      </c>
      <c r="E394" s="56">
        <v>42934</v>
      </c>
      <c r="F394" s="8">
        <v>137.07</v>
      </c>
      <c r="G394" s="8">
        <v>157.63</v>
      </c>
      <c r="H394" s="56">
        <v>42882</v>
      </c>
      <c r="I394" s="24">
        <v>137.07</v>
      </c>
      <c r="J394" s="77"/>
      <c r="K394" s="48"/>
    </row>
    <row r="395" spans="1:11" ht="24" x14ac:dyDescent="0.25">
      <c r="A395" s="115">
        <v>379</v>
      </c>
      <c r="B395" s="60" t="s">
        <v>195</v>
      </c>
      <c r="C395" s="10" t="str">
        <f>"4/2015-MUP-275"</f>
        <v>4/2015-MUP-275</v>
      </c>
      <c r="D395" s="56">
        <v>42568</v>
      </c>
      <c r="E395" s="56">
        <v>42933</v>
      </c>
      <c r="F395" s="8">
        <v>191.87</v>
      </c>
      <c r="G395" s="8">
        <v>191.87</v>
      </c>
      <c r="H395" s="56">
        <v>43008</v>
      </c>
      <c r="I395" s="24">
        <v>191.87</v>
      </c>
      <c r="J395" s="77"/>
    </row>
    <row r="396" spans="1:11" x14ac:dyDescent="0.25">
      <c r="A396" s="115">
        <v>380</v>
      </c>
      <c r="B396" s="60" t="s">
        <v>186</v>
      </c>
      <c r="C396" s="10" t="str">
        <f>"017000101750"</f>
        <v>017000101750</v>
      </c>
      <c r="D396" s="56">
        <v>42568</v>
      </c>
      <c r="E396" s="56">
        <v>42933</v>
      </c>
      <c r="F396" s="8">
        <v>211.57</v>
      </c>
      <c r="G396" s="8">
        <v>243.31</v>
      </c>
      <c r="H396" s="56">
        <v>42882</v>
      </c>
      <c r="I396" s="24">
        <v>211.57</v>
      </c>
      <c r="J396" s="77"/>
    </row>
    <row r="397" spans="1:11" ht="24" x14ac:dyDescent="0.25">
      <c r="A397" s="115">
        <v>381</v>
      </c>
      <c r="B397" s="60" t="s">
        <v>195</v>
      </c>
      <c r="C397" s="10" t="str">
        <f>"4/2015-MUP-274"</f>
        <v>4/2015-MUP-274</v>
      </c>
      <c r="D397" s="56">
        <v>42567</v>
      </c>
      <c r="E397" s="56">
        <v>42932</v>
      </c>
      <c r="F397" s="8">
        <v>470.54</v>
      </c>
      <c r="G397" s="8">
        <v>470.54</v>
      </c>
      <c r="H397" s="56">
        <v>43008</v>
      </c>
      <c r="I397" s="24">
        <v>470.54</v>
      </c>
      <c r="J397" s="77"/>
      <c r="K397" s="48"/>
    </row>
    <row r="398" spans="1:11" ht="24" x14ac:dyDescent="0.25">
      <c r="A398" s="115">
        <v>382</v>
      </c>
      <c r="B398" s="60" t="s">
        <v>195</v>
      </c>
      <c r="C398" s="10" t="str">
        <f>"4/2015-MUP-273"</f>
        <v>4/2015-MUP-273</v>
      </c>
      <c r="D398" s="56">
        <v>42566</v>
      </c>
      <c r="E398" s="56">
        <v>42931</v>
      </c>
      <c r="F398" s="8">
        <v>390.81</v>
      </c>
      <c r="G398" s="8">
        <v>390.81</v>
      </c>
      <c r="H398" s="56">
        <v>43008</v>
      </c>
      <c r="I398" s="24">
        <v>390.81</v>
      </c>
      <c r="J398" s="77"/>
    </row>
    <row r="399" spans="1:11" x14ac:dyDescent="0.25">
      <c r="A399" s="115">
        <v>383</v>
      </c>
      <c r="B399" s="60" t="s">
        <v>186</v>
      </c>
      <c r="C399" s="10" t="str">
        <f>"017000101083"</f>
        <v>017000101083</v>
      </c>
      <c r="D399" s="56">
        <v>42565</v>
      </c>
      <c r="E399" s="56">
        <v>42930</v>
      </c>
      <c r="F399" s="8">
        <v>282.24</v>
      </c>
      <c r="G399" s="8">
        <v>324.58</v>
      </c>
      <c r="H399" s="56">
        <v>42882</v>
      </c>
      <c r="I399" s="24">
        <v>282.24</v>
      </c>
      <c r="J399" s="77"/>
    </row>
    <row r="400" spans="1:11" ht="24" x14ac:dyDescent="0.25">
      <c r="A400" s="115">
        <v>384</v>
      </c>
      <c r="B400" s="60" t="s">
        <v>195</v>
      </c>
      <c r="C400" s="10" t="str">
        <f>"4/2015-MUP-272"</f>
        <v>4/2015-MUP-272</v>
      </c>
      <c r="D400" s="56">
        <v>42565</v>
      </c>
      <c r="E400" s="56">
        <v>42930</v>
      </c>
      <c r="F400" s="8">
        <v>1669.88</v>
      </c>
      <c r="G400" s="8">
        <v>1669.88</v>
      </c>
      <c r="H400" s="56">
        <v>43008</v>
      </c>
      <c r="I400" s="24">
        <v>1669.88</v>
      </c>
      <c r="J400" s="77"/>
      <c r="K400" s="48"/>
    </row>
    <row r="401" spans="1:11" ht="24" x14ac:dyDescent="0.25">
      <c r="A401" s="115">
        <v>385</v>
      </c>
      <c r="B401" s="60" t="s">
        <v>195</v>
      </c>
      <c r="C401" s="10" t="str">
        <f>"4/2015-MUP-270"</f>
        <v>4/2015-MUP-270</v>
      </c>
      <c r="D401" s="56">
        <v>42563</v>
      </c>
      <c r="E401" s="56">
        <v>42928</v>
      </c>
      <c r="F401" s="8">
        <v>3345.46</v>
      </c>
      <c r="G401" s="8">
        <v>3345.46</v>
      </c>
      <c r="H401" s="56">
        <v>43008</v>
      </c>
      <c r="I401" s="24">
        <v>3345.46</v>
      </c>
      <c r="J401" s="77"/>
    </row>
    <row r="402" spans="1:11" x14ac:dyDescent="0.25">
      <c r="A402" s="115">
        <v>386</v>
      </c>
      <c r="B402" s="60" t="s">
        <v>186</v>
      </c>
      <c r="C402" s="10" t="str">
        <f>"017000101768"</f>
        <v>017000101768</v>
      </c>
      <c r="D402" s="56">
        <v>42563</v>
      </c>
      <c r="E402" s="56">
        <v>42928</v>
      </c>
      <c r="F402" s="8">
        <v>362.88</v>
      </c>
      <c r="G402" s="8">
        <v>417.31</v>
      </c>
      <c r="H402" s="56">
        <v>42882</v>
      </c>
      <c r="I402" s="24">
        <v>362.88</v>
      </c>
      <c r="J402" s="77"/>
    </row>
    <row r="403" spans="1:11" x14ac:dyDescent="0.25">
      <c r="A403" s="115">
        <v>387</v>
      </c>
      <c r="B403" s="60" t="s">
        <v>210</v>
      </c>
      <c r="C403" s="10" t="str">
        <f>"4/2015-PU-34"</f>
        <v>4/2015-PU-34</v>
      </c>
      <c r="D403" s="56">
        <v>42563</v>
      </c>
      <c r="E403" s="56">
        <v>42928</v>
      </c>
      <c r="F403" s="8">
        <v>147.87</v>
      </c>
      <c r="G403" s="8">
        <v>147.87</v>
      </c>
      <c r="H403" s="56">
        <v>42928</v>
      </c>
      <c r="I403" s="24">
        <v>147.87</v>
      </c>
      <c r="J403" s="77"/>
      <c r="K403" s="48"/>
    </row>
    <row r="404" spans="1:11" ht="24" x14ac:dyDescent="0.25">
      <c r="A404" s="115">
        <v>388</v>
      </c>
      <c r="B404" s="60" t="s">
        <v>195</v>
      </c>
      <c r="C404" s="10" t="str">
        <f>"4/2015-MUP-269"</f>
        <v>4/2015-MUP-269</v>
      </c>
      <c r="D404" s="56">
        <v>42562</v>
      </c>
      <c r="E404" s="56">
        <v>42927</v>
      </c>
      <c r="F404" s="8">
        <v>190.47</v>
      </c>
      <c r="G404" s="8">
        <v>190.47</v>
      </c>
      <c r="H404" s="56">
        <v>43008</v>
      </c>
      <c r="I404" s="24">
        <v>190.47</v>
      </c>
      <c r="J404" s="77"/>
    </row>
    <row r="405" spans="1:11" ht="24" x14ac:dyDescent="0.25">
      <c r="A405" s="115">
        <v>389</v>
      </c>
      <c r="B405" s="60" t="s">
        <v>195</v>
      </c>
      <c r="C405" s="10" t="str">
        <f>"4/2015-MUP-268"</f>
        <v>4/2015-MUP-268</v>
      </c>
      <c r="D405" s="56">
        <v>42561</v>
      </c>
      <c r="E405" s="56">
        <v>42926</v>
      </c>
      <c r="F405" s="8">
        <v>3626.71</v>
      </c>
      <c r="G405" s="8">
        <v>3626.71</v>
      </c>
      <c r="H405" s="56">
        <v>43008</v>
      </c>
      <c r="I405" s="24">
        <v>3626.71</v>
      </c>
      <c r="J405" s="77"/>
    </row>
    <row r="406" spans="1:11" x14ac:dyDescent="0.25">
      <c r="A406" s="115">
        <v>390</v>
      </c>
      <c r="B406" s="60" t="s">
        <v>186</v>
      </c>
      <c r="C406" s="10" t="str">
        <f>"017000101091"</f>
        <v>017000101091</v>
      </c>
      <c r="D406" s="56">
        <v>42560</v>
      </c>
      <c r="E406" s="56">
        <v>42925</v>
      </c>
      <c r="F406" s="8">
        <v>295.89</v>
      </c>
      <c r="G406" s="8">
        <v>340.27</v>
      </c>
      <c r="H406" s="56">
        <v>42882</v>
      </c>
      <c r="I406" s="24">
        <v>295.89</v>
      </c>
      <c r="J406" s="77"/>
      <c r="K406" s="48"/>
    </row>
    <row r="407" spans="1:11" ht="24" x14ac:dyDescent="0.25">
      <c r="A407" s="115">
        <v>391</v>
      </c>
      <c r="B407" s="60" t="s">
        <v>195</v>
      </c>
      <c r="C407" s="10" t="str">
        <f>"4/2015-MUP-267"</f>
        <v>4/2015-MUP-267</v>
      </c>
      <c r="D407" s="56">
        <v>42560</v>
      </c>
      <c r="E407" s="56">
        <v>42925</v>
      </c>
      <c r="F407" s="8">
        <v>1719.98</v>
      </c>
      <c r="G407" s="8">
        <v>1719.98</v>
      </c>
      <c r="H407" s="56">
        <v>43008</v>
      </c>
      <c r="I407" s="24">
        <v>1719.98</v>
      </c>
      <c r="J407" s="77"/>
    </row>
    <row r="408" spans="1:11" ht="24" x14ac:dyDescent="0.25">
      <c r="A408" s="115">
        <v>392</v>
      </c>
      <c r="B408" s="60" t="s">
        <v>195</v>
      </c>
      <c r="C408" s="10" t="str">
        <f>"4/2015-MUP-266"</f>
        <v>4/2015-MUP-266</v>
      </c>
      <c r="D408" s="56">
        <v>42559</v>
      </c>
      <c r="E408" s="56">
        <v>42924</v>
      </c>
      <c r="F408" s="8">
        <v>450.94</v>
      </c>
      <c r="G408" s="8">
        <v>450.94</v>
      </c>
      <c r="H408" s="56">
        <v>43008</v>
      </c>
      <c r="I408" s="24">
        <v>450.94</v>
      </c>
      <c r="J408" s="77"/>
    </row>
    <row r="409" spans="1:11" ht="24" x14ac:dyDescent="0.25">
      <c r="A409" s="115">
        <v>393</v>
      </c>
      <c r="B409" s="60" t="s">
        <v>195</v>
      </c>
      <c r="C409" s="10" t="str">
        <f>"4/2015-MUP-265"</f>
        <v>4/2015-MUP-265</v>
      </c>
      <c r="D409" s="56">
        <v>42558</v>
      </c>
      <c r="E409" s="56">
        <v>42923</v>
      </c>
      <c r="F409" s="8">
        <v>530.03</v>
      </c>
      <c r="G409" s="8">
        <v>530.03</v>
      </c>
      <c r="H409" s="56">
        <v>43008</v>
      </c>
      <c r="I409" s="24">
        <v>530.03</v>
      </c>
      <c r="J409" s="77"/>
      <c r="K409" s="48"/>
    </row>
    <row r="410" spans="1:11" ht="24" x14ac:dyDescent="0.25">
      <c r="A410" s="115">
        <v>394</v>
      </c>
      <c r="B410" s="60" t="s">
        <v>195</v>
      </c>
      <c r="C410" s="10" t="str">
        <f>"4/2015-MUP-264"</f>
        <v>4/2015-MUP-264</v>
      </c>
      <c r="D410" s="56">
        <v>42557</v>
      </c>
      <c r="E410" s="56">
        <v>42922</v>
      </c>
      <c r="F410" s="8">
        <v>764.24</v>
      </c>
      <c r="G410" s="8">
        <v>764.24</v>
      </c>
      <c r="H410" s="56">
        <v>43008</v>
      </c>
      <c r="I410" s="24">
        <v>764.24</v>
      </c>
      <c r="J410" s="77"/>
    </row>
    <row r="411" spans="1:11" ht="24" x14ac:dyDescent="0.25">
      <c r="A411" s="115">
        <v>395</v>
      </c>
      <c r="B411" s="60" t="s">
        <v>195</v>
      </c>
      <c r="C411" s="10" t="str">
        <f>"4/2015-MUP-263"</f>
        <v>4/2015-MUP-263</v>
      </c>
      <c r="D411" s="56">
        <v>42556</v>
      </c>
      <c r="E411" s="56">
        <v>42921</v>
      </c>
      <c r="F411" s="8">
        <v>1290.32</v>
      </c>
      <c r="G411" s="8">
        <v>1290.32</v>
      </c>
      <c r="H411" s="56">
        <v>43008</v>
      </c>
      <c r="I411" s="24">
        <v>1290.32</v>
      </c>
      <c r="J411" s="77"/>
    </row>
    <row r="412" spans="1:11" ht="24" x14ac:dyDescent="0.25">
      <c r="A412" s="115">
        <v>396</v>
      </c>
      <c r="B412" s="60" t="s">
        <v>195</v>
      </c>
      <c r="C412" s="10" t="str">
        <f>"4/2015-MUP-262"</f>
        <v>4/2015-MUP-262</v>
      </c>
      <c r="D412" s="56">
        <v>42555</v>
      </c>
      <c r="E412" s="56">
        <v>42920</v>
      </c>
      <c r="F412" s="8">
        <v>897.29</v>
      </c>
      <c r="G412" s="8">
        <v>897.29</v>
      </c>
      <c r="H412" s="56">
        <v>43008</v>
      </c>
      <c r="I412" s="24">
        <v>897.29</v>
      </c>
      <c r="J412" s="77"/>
      <c r="K412" s="48"/>
    </row>
    <row r="413" spans="1:11" ht="24" x14ac:dyDescent="0.25">
      <c r="A413" s="115">
        <v>397</v>
      </c>
      <c r="B413" s="60" t="s">
        <v>195</v>
      </c>
      <c r="C413" s="10" t="str">
        <f>"4/2015-MUP-261"</f>
        <v>4/2015-MUP-261</v>
      </c>
      <c r="D413" s="56">
        <v>42554</v>
      </c>
      <c r="E413" s="56">
        <v>42919</v>
      </c>
      <c r="F413" s="8">
        <v>277.39999999999998</v>
      </c>
      <c r="G413" s="8">
        <v>277.39999999999998</v>
      </c>
      <c r="H413" s="56">
        <v>43008</v>
      </c>
      <c r="I413" s="24">
        <v>277.39999999999998</v>
      </c>
      <c r="J413" s="77"/>
    </row>
    <row r="414" spans="1:11" ht="24" x14ac:dyDescent="0.25">
      <c r="A414" s="115">
        <v>398</v>
      </c>
      <c r="B414" s="60" t="s">
        <v>195</v>
      </c>
      <c r="C414" s="10" t="str">
        <f>"4/2015-MUP-260"</f>
        <v>4/2015-MUP-260</v>
      </c>
      <c r="D414" s="56">
        <v>42553</v>
      </c>
      <c r="E414" s="56">
        <v>42918</v>
      </c>
      <c r="F414" s="8">
        <v>579.39</v>
      </c>
      <c r="G414" s="8">
        <v>579.39</v>
      </c>
      <c r="H414" s="56">
        <v>43008</v>
      </c>
      <c r="I414" s="24">
        <v>579.39</v>
      </c>
      <c r="J414" s="77"/>
    </row>
    <row r="415" spans="1:11" ht="24" x14ac:dyDescent="0.25">
      <c r="A415" s="115">
        <v>399</v>
      </c>
      <c r="B415" s="60" t="s">
        <v>195</v>
      </c>
      <c r="C415" s="10" t="str">
        <f>"4/2015-MUP-259"</f>
        <v>4/2015-MUP-259</v>
      </c>
      <c r="D415" s="56">
        <v>42552</v>
      </c>
      <c r="E415" s="56">
        <v>42917</v>
      </c>
      <c r="F415" s="8">
        <v>19498.23</v>
      </c>
      <c r="G415" s="8">
        <v>19498.23</v>
      </c>
      <c r="H415" s="56">
        <v>43008</v>
      </c>
      <c r="I415" s="24">
        <v>19498.23</v>
      </c>
      <c r="J415" s="77"/>
      <c r="K415" s="48"/>
    </row>
    <row r="416" spans="1:11" ht="24" x14ac:dyDescent="0.25">
      <c r="A416" s="115">
        <v>400</v>
      </c>
      <c r="B416" s="60" t="s">
        <v>195</v>
      </c>
      <c r="C416" s="10" t="str">
        <f>"4/2015-MUP-258"</f>
        <v>4/2015-MUP-258</v>
      </c>
      <c r="D416" s="56">
        <v>42551</v>
      </c>
      <c r="E416" s="56">
        <v>42916</v>
      </c>
      <c r="F416" s="8">
        <v>878.08</v>
      </c>
      <c r="G416" s="8">
        <v>878.08</v>
      </c>
      <c r="H416" s="56">
        <v>43008</v>
      </c>
      <c r="I416" s="24">
        <v>878.08</v>
      </c>
      <c r="J416" s="77"/>
    </row>
    <row r="417" spans="1:11" ht="24" x14ac:dyDescent="0.25">
      <c r="A417" s="115">
        <v>401</v>
      </c>
      <c r="B417" s="60" t="s">
        <v>195</v>
      </c>
      <c r="C417" s="10" t="str">
        <f>"4/2015-MUP-246"</f>
        <v>4/2015-MUP-246</v>
      </c>
      <c r="D417" s="56">
        <v>42550</v>
      </c>
      <c r="E417" s="56">
        <v>42915</v>
      </c>
      <c r="F417" s="8">
        <v>2250.3000000000002</v>
      </c>
      <c r="G417" s="8">
        <v>2250.3000000000002</v>
      </c>
      <c r="H417" s="56">
        <v>42916</v>
      </c>
      <c r="I417" s="24">
        <v>2250.3000000000002</v>
      </c>
      <c r="J417" s="77"/>
    </row>
    <row r="418" spans="1:11" ht="24" x14ac:dyDescent="0.25">
      <c r="A418" s="115">
        <v>402</v>
      </c>
      <c r="B418" s="60" t="s">
        <v>195</v>
      </c>
      <c r="C418" s="10" t="str">
        <f>"4/2015-MUP-257"</f>
        <v>4/2015-MUP-257</v>
      </c>
      <c r="D418" s="56">
        <v>42549</v>
      </c>
      <c r="E418" s="56">
        <v>42914</v>
      </c>
      <c r="F418" s="8">
        <v>2723.76</v>
      </c>
      <c r="G418" s="8">
        <v>2723.76</v>
      </c>
      <c r="H418" s="56">
        <v>43008</v>
      </c>
      <c r="I418" s="24">
        <v>2723.76</v>
      </c>
      <c r="J418" s="77"/>
      <c r="K418" s="48"/>
    </row>
    <row r="419" spans="1:11" ht="24" x14ac:dyDescent="0.25">
      <c r="A419" s="115">
        <v>403</v>
      </c>
      <c r="B419" s="60" t="s">
        <v>195</v>
      </c>
      <c r="C419" s="10" t="str">
        <f>"4/2015-MUP-245"</f>
        <v>4/2015-MUP-245</v>
      </c>
      <c r="D419" s="56">
        <v>42548</v>
      </c>
      <c r="E419" s="56">
        <v>42913</v>
      </c>
      <c r="F419" s="8">
        <v>2491.91</v>
      </c>
      <c r="G419" s="8">
        <v>2491.91</v>
      </c>
      <c r="H419" s="56">
        <v>42916</v>
      </c>
      <c r="I419" s="24">
        <v>2491.91</v>
      </c>
      <c r="J419" s="77"/>
    </row>
    <row r="420" spans="1:11" ht="24" x14ac:dyDescent="0.25">
      <c r="A420" s="115">
        <v>404</v>
      </c>
      <c r="B420" s="60" t="s">
        <v>195</v>
      </c>
      <c r="C420" s="10" t="str">
        <f>"4/2015-MUP-244"</f>
        <v>4/2015-MUP-244</v>
      </c>
      <c r="D420" s="56">
        <v>42547</v>
      </c>
      <c r="E420" s="56">
        <v>42912</v>
      </c>
      <c r="F420" s="8">
        <v>7078.39</v>
      </c>
      <c r="G420" s="8">
        <v>7078.39</v>
      </c>
      <c r="H420" s="56">
        <v>42916</v>
      </c>
      <c r="I420" s="24">
        <v>7078.39</v>
      </c>
      <c r="J420" s="77"/>
    </row>
    <row r="421" spans="1:11" ht="24" x14ac:dyDescent="0.25">
      <c r="A421" s="115">
        <v>405</v>
      </c>
      <c r="B421" s="60" t="s">
        <v>195</v>
      </c>
      <c r="C421" s="10" t="str">
        <f>"4/2015-MUP-243"</f>
        <v>4/2015-MUP-243</v>
      </c>
      <c r="D421" s="56">
        <v>42545</v>
      </c>
      <c r="E421" s="56">
        <v>42910</v>
      </c>
      <c r="F421" s="8">
        <v>9050.2000000000007</v>
      </c>
      <c r="G421" s="8">
        <v>9050.2000000000007</v>
      </c>
      <c r="H421" s="56">
        <v>42916</v>
      </c>
      <c r="I421" s="24">
        <v>9050.2000000000007</v>
      </c>
      <c r="J421" s="77"/>
      <c r="K421" s="48"/>
    </row>
    <row r="422" spans="1:11" ht="24" x14ac:dyDescent="0.25">
      <c r="A422" s="115">
        <v>406</v>
      </c>
      <c r="B422" s="60" t="s">
        <v>195</v>
      </c>
      <c r="C422" s="10" t="str">
        <f>"4/2015-MUP-242"</f>
        <v>4/2015-MUP-242</v>
      </c>
      <c r="D422" s="56">
        <v>42544</v>
      </c>
      <c r="E422" s="56">
        <v>42909</v>
      </c>
      <c r="F422" s="8">
        <v>196.03</v>
      </c>
      <c r="G422" s="8">
        <v>196.03</v>
      </c>
      <c r="H422" s="56">
        <v>42916</v>
      </c>
      <c r="I422" s="24">
        <v>196.03</v>
      </c>
      <c r="J422" s="77"/>
    </row>
    <row r="423" spans="1:11" ht="24" x14ac:dyDescent="0.25">
      <c r="A423" s="115">
        <v>407</v>
      </c>
      <c r="B423" s="60" t="s">
        <v>210</v>
      </c>
      <c r="C423" s="10" t="str">
        <f>"4/2015-MFINPU-31"</f>
        <v>4/2015-MFINPU-31</v>
      </c>
      <c r="D423" s="56">
        <v>42542</v>
      </c>
      <c r="E423" s="56">
        <v>42907</v>
      </c>
      <c r="F423" s="8">
        <v>334.13</v>
      </c>
      <c r="G423" s="8">
        <v>334.13</v>
      </c>
      <c r="H423" s="56">
        <v>42907</v>
      </c>
      <c r="I423" s="24">
        <v>334.13</v>
      </c>
      <c r="J423" s="77"/>
    </row>
    <row r="424" spans="1:11" ht="24" x14ac:dyDescent="0.25">
      <c r="A424" s="115">
        <v>408</v>
      </c>
      <c r="B424" s="60" t="s">
        <v>195</v>
      </c>
      <c r="C424" s="10" t="str">
        <f>"4/2015-MUP-241"</f>
        <v>4/2015-MUP-241</v>
      </c>
      <c r="D424" s="56">
        <v>42542</v>
      </c>
      <c r="E424" s="56">
        <v>42907</v>
      </c>
      <c r="F424" s="8">
        <v>4791.7</v>
      </c>
      <c r="G424" s="8">
        <v>4791.7</v>
      </c>
      <c r="H424" s="56">
        <v>42916</v>
      </c>
      <c r="I424" s="24">
        <v>4791.7</v>
      </c>
      <c r="J424" s="77"/>
      <c r="K424" s="48"/>
    </row>
    <row r="425" spans="1:11" ht="24" x14ac:dyDescent="0.25">
      <c r="A425" s="115">
        <v>409</v>
      </c>
      <c r="B425" s="60" t="s">
        <v>195</v>
      </c>
      <c r="C425" s="10" t="str">
        <f>"4/2015-MUP-256"</f>
        <v>4/2015-MUP-256</v>
      </c>
      <c r="D425" s="56">
        <v>42541</v>
      </c>
      <c r="E425" s="56">
        <v>42906</v>
      </c>
      <c r="F425" s="8">
        <v>282.97000000000003</v>
      </c>
      <c r="G425" s="8">
        <v>282.97000000000003</v>
      </c>
      <c r="H425" s="56">
        <v>43008</v>
      </c>
      <c r="I425" s="24">
        <v>282.97000000000003</v>
      </c>
      <c r="J425" s="77"/>
    </row>
    <row r="426" spans="1:11" ht="24" x14ac:dyDescent="0.25">
      <c r="A426" s="115">
        <v>410</v>
      </c>
      <c r="B426" s="60" t="s">
        <v>195</v>
      </c>
      <c r="C426" s="10" t="str">
        <f>"4/2015-MUP-255"</f>
        <v>4/2015-MUP-255</v>
      </c>
      <c r="D426" s="56">
        <v>42540</v>
      </c>
      <c r="E426" s="56">
        <v>42905</v>
      </c>
      <c r="F426" s="8">
        <v>267.69</v>
      </c>
      <c r="G426" s="8">
        <v>267.69</v>
      </c>
      <c r="H426" s="56">
        <v>43008</v>
      </c>
      <c r="I426" s="24">
        <v>267.69</v>
      </c>
      <c r="J426" s="77"/>
    </row>
    <row r="427" spans="1:11" ht="24" x14ac:dyDescent="0.25">
      <c r="A427" s="115">
        <v>411</v>
      </c>
      <c r="B427" s="60" t="s">
        <v>211</v>
      </c>
      <c r="C427" s="10" t="str">
        <f>"7000084499"</f>
        <v>7000084499</v>
      </c>
      <c r="D427" s="56">
        <v>42655</v>
      </c>
      <c r="E427" s="56">
        <v>42903</v>
      </c>
      <c r="F427" s="8">
        <v>9103.43</v>
      </c>
      <c r="G427" s="8">
        <v>11379.29</v>
      </c>
      <c r="H427" s="56">
        <v>43100</v>
      </c>
      <c r="I427" s="24">
        <v>22678.3</v>
      </c>
      <c r="J427" s="77"/>
      <c r="K427" s="48"/>
    </row>
    <row r="428" spans="1:11" ht="24" x14ac:dyDescent="0.25">
      <c r="A428" s="115">
        <v>412</v>
      </c>
      <c r="B428" s="60" t="s">
        <v>203</v>
      </c>
      <c r="C428" s="10" t="str">
        <f>"004700000263-279"</f>
        <v>004700000263-279</v>
      </c>
      <c r="D428" s="56">
        <v>42537</v>
      </c>
      <c r="E428" s="56">
        <v>42974</v>
      </c>
      <c r="F428" s="8">
        <v>29157.23</v>
      </c>
      <c r="G428" s="8">
        <v>36446.54</v>
      </c>
      <c r="H428" s="56">
        <v>42974</v>
      </c>
      <c r="I428" s="24">
        <v>127421.87</v>
      </c>
      <c r="J428" s="77"/>
    </row>
    <row r="429" spans="1:11" ht="24" x14ac:dyDescent="0.25">
      <c r="A429" s="115">
        <v>413</v>
      </c>
      <c r="B429" s="60" t="s">
        <v>195</v>
      </c>
      <c r="C429" s="10" t="str">
        <f>"4/2015-MUP-240"</f>
        <v>4/2015-MUP-240</v>
      </c>
      <c r="D429" s="56">
        <v>42537</v>
      </c>
      <c r="E429" s="56">
        <v>42902</v>
      </c>
      <c r="F429" s="8">
        <v>633.86</v>
      </c>
      <c r="G429" s="8">
        <v>633.86</v>
      </c>
      <c r="H429" s="56">
        <v>42916</v>
      </c>
      <c r="I429" s="24">
        <v>633.86</v>
      </c>
      <c r="J429" s="77"/>
    </row>
    <row r="430" spans="1:11" x14ac:dyDescent="0.25">
      <c r="A430" s="115">
        <v>414</v>
      </c>
      <c r="B430" s="60" t="s">
        <v>204</v>
      </c>
      <c r="C430" s="10" t="str">
        <f>"004700000225"</f>
        <v>004700000225</v>
      </c>
      <c r="D430" s="56">
        <v>42492</v>
      </c>
      <c r="E430" s="56">
        <v>42901</v>
      </c>
      <c r="F430" s="8">
        <v>1758.09</v>
      </c>
      <c r="G430" s="8">
        <v>1758.09</v>
      </c>
      <c r="H430" s="56">
        <v>42901</v>
      </c>
      <c r="I430" s="24">
        <v>1758.09</v>
      </c>
      <c r="J430" s="77"/>
      <c r="K430" s="48"/>
    </row>
    <row r="431" spans="1:11" x14ac:dyDescent="0.25">
      <c r="A431" s="115">
        <v>415</v>
      </c>
      <c r="B431" s="60" t="s">
        <v>186</v>
      </c>
      <c r="C431" s="10" t="str">
        <f>"017000109173"</f>
        <v>017000109173</v>
      </c>
      <c r="D431" s="56">
        <v>42536</v>
      </c>
      <c r="E431" s="56">
        <v>42993</v>
      </c>
      <c r="F431" s="8">
        <v>417.16</v>
      </c>
      <c r="G431" s="8">
        <v>479.73</v>
      </c>
      <c r="H431" s="56">
        <v>42882</v>
      </c>
      <c r="I431" s="24">
        <v>417.18</v>
      </c>
      <c r="J431" s="77"/>
    </row>
    <row r="432" spans="1:11" ht="24" x14ac:dyDescent="0.25">
      <c r="A432" s="115">
        <v>416</v>
      </c>
      <c r="B432" s="60" t="s">
        <v>195</v>
      </c>
      <c r="C432" s="10" t="str">
        <f>"4/2015-MUP-239"</f>
        <v>4/2015-MUP-239</v>
      </c>
      <c r="D432" s="56">
        <v>42535</v>
      </c>
      <c r="E432" s="56">
        <v>42900</v>
      </c>
      <c r="F432" s="8">
        <v>241.81</v>
      </c>
      <c r="G432" s="8">
        <v>241.81</v>
      </c>
      <c r="H432" s="56">
        <v>42916</v>
      </c>
      <c r="I432" s="24">
        <v>241.81</v>
      </c>
      <c r="J432" s="77"/>
    </row>
    <row r="433" spans="1:11" x14ac:dyDescent="0.25">
      <c r="A433" s="115">
        <v>417</v>
      </c>
      <c r="B433" s="60" t="s">
        <v>186</v>
      </c>
      <c r="C433" s="10" t="str">
        <f>"017000090839"</f>
        <v>017000090839</v>
      </c>
      <c r="D433" s="56">
        <v>42534</v>
      </c>
      <c r="E433" s="56">
        <v>42899</v>
      </c>
      <c r="F433" s="8">
        <v>268.43</v>
      </c>
      <c r="G433" s="8">
        <v>308.69</v>
      </c>
      <c r="H433" s="56">
        <v>42882</v>
      </c>
      <c r="I433" s="24">
        <v>268.43</v>
      </c>
      <c r="J433" s="77"/>
      <c r="K433" s="48"/>
    </row>
    <row r="434" spans="1:11" ht="24" x14ac:dyDescent="0.25">
      <c r="A434" s="115">
        <v>418</v>
      </c>
      <c r="B434" s="60" t="s">
        <v>210</v>
      </c>
      <c r="C434" s="10" t="str">
        <f>"4/2015-MFINPU-20"</f>
        <v>4/2015-MFINPU-20</v>
      </c>
      <c r="D434" s="56">
        <v>42533</v>
      </c>
      <c r="E434" s="56">
        <v>42898</v>
      </c>
      <c r="F434" s="8">
        <v>2909.09</v>
      </c>
      <c r="G434" s="8">
        <v>2909.09</v>
      </c>
      <c r="H434" s="56">
        <v>42898</v>
      </c>
      <c r="I434" s="24">
        <v>2909.09</v>
      </c>
      <c r="J434" s="77"/>
    </row>
    <row r="435" spans="1:11" ht="24" x14ac:dyDescent="0.25">
      <c r="A435" s="115">
        <v>419</v>
      </c>
      <c r="B435" s="60" t="s">
        <v>195</v>
      </c>
      <c r="C435" s="10" t="str">
        <f>"4/2015-MUP-238"</f>
        <v>4/2015-MUP-238</v>
      </c>
      <c r="D435" s="56">
        <v>42532</v>
      </c>
      <c r="E435" s="56">
        <v>42897</v>
      </c>
      <c r="F435" s="8">
        <v>428.87</v>
      </c>
      <c r="G435" s="8">
        <v>428.87</v>
      </c>
      <c r="H435" s="56">
        <v>42916</v>
      </c>
      <c r="I435" s="24">
        <v>428.87</v>
      </c>
      <c r="J435" s="77"/>
    </row>
    <row r="436" spans="1:11" ht="24" x14ac:dyDescent="0.25">
      <c r="A436" s="115">
        <v>420</v>
      </c>
      <c r="B436" s="60" t="s">
        <v>195</v>
      </c>
      <c r="C436" s="10" t="str">
        <f>"4/2015-MUP-237"</f>
        <v>4/2015-MUP-237</v>
      </c>
      <c r="D436" s="56">
        <v>42531</v>
      </c>
      <c r="E436" s="56">
        <v>42896</v>
      </c>
      <c r="F436" s="8">
        <v>428.51</v>
      </c>
      <c r="G436" s="8">
        <v>428.51</v>
      </c>
      <c r="H436" s="56">
        <v>42916</v>
      </c>
      <c r="I436" s="24">
        <v>428.51</v>
      </c>
      <c r="J436" s="77"/>
      <c r="K436" s="48"/>
    </row>
    <row r="437" spans="1:11" ht="24" x14ac:dyDescent="0.25">
      <c r="A437" s="115">
        <v>421</v>
      </c>
      <c r="B437" s="60" t="s">
        <v>195</v>
      </c>
      <c r="C437" s="10" t="str">
        <f>"4/2015-MUP-253"</f>
        <v>4/2015-MUP-253</v>
      </c>
      <c r="D437" s="56">
        <v>42530</v>
      </c>
      <c r="E437" s="56">
        <v>42895</v>
      </c>
      <c r="F437" s="8">
        <v>1846.75</v>
      </c>
      <c r="G437" s="8">
        <v>1846.75</v>
      </c>
      <c r="H437" s="56">
        <v>43008</v>
      </c>
      <c r="I437" s="24">
        <v>1846.75</v>
      </c>
      <c r="J437" s="77"/>
    </row>
    <row r="438" spans="1:11" ht="24" x14ac:dyDescent="0.25">
      <c r="A438" s="115">
        <v>422</v>
      </c>
      <c r="B438" s="60" t="s">
        <v>195</v>
      </c>
      <c r="C438" s="10" t="str">
        <f>"4/2015-MUP-252"</f>
        <v>4/2015-MUP-252</v>
      </c>
      <c r="D438" s="56">
        <v>42529</v>
      </c>
      <c r="E438" s="56">
        <v>42894</v>
      </c>
      <c r="F438" s="8">
        <v>866.15</v>
      </c>
      <c r="G438" s="8">
        <v>866.15</v>
      </c>
      <c r="H438" s="56">
        <v>43008</v>
      </c>
      <c r="I438" s="24">
        <v>866.15</v>
      </c>
      <c r="J438" s="77"/>
    </row>
    <row r="439" spans="1:11" ht="24" x14ac:dyDescent="0.25">
      <c r="A439" s="115">
        <v>423</v>
      </c>
      <c r="B439" s="60" t="s">
        <v>195</v>
      </c>
      <c r="C439" s="10" t="str">
        <f>"4/2015-MUP-236"</f>
        <v>4/2015-MUP-236</v>
      </c>
      <c r="D439" s="56">
        <v>42528</v>
      </c>
      <c r="E439" s="56">
        <v>42893</v>
      </c>
      <c r="F439" s="8">
        <v>192.84</v>
      </c>
      <c r="G439" s="8">
        <v>192.84</v>
      </c>
      <c r="H439" s="56">
        <v>42916</v>
      </c>
      <c r="I439" s="24">
        <v>192.84</v>
      </c>
      <c r="J439" s="77"/>
      <c r="K439" s="48"/>
    </row>
    <row r="440" spans="1:11" ht="24" x14ac:dyDescent="0.25">
      <c r="A440" s="115">
        <v>424</v>
      </c>
      <c r="B440" s="60" t="s">
        <v>195</v>
      </c>
      <c r="C440" s="10" t="str">
        <f>"4/2015-MUP-251"</f>
        <v>4/2015-MUP-251</v>
      </c>
      <c r="D440" s="56">
        <v>42527</v>
      </c>
      <c r="E440" s="56">
        <v>42892</v>
      </c>
      <c r="F440" s="8">
        <v>146.03</v>
      </c>
      <c r="G440" s="8">
        <v>146.03</v>
      </c>
      <c r="H440" s="56">
        <v>43008</v>
      </c>
      <c r="I440" s="24">
        <v>146.03</v>
      </c>
      <c r="J440" s="77"/>
    </row>
    <row r="441" spans="1:11" ht="24" x14ac:dyDescent="0.25">
      <c r="A441" s="115">
        <v>425</v>
      </c>
      <c r="B441" s="60" t="s">
        <v>195</v>
      </c>
      <c r="C441" s="10" t="str">
        <f>"4/2015-MUP-235"</f>
        <v>4/2015-MUP-235</v>
      </c>
      <c r="D441" s="56">
        <v>42525</v>
      </c>
      <c r="E441" s="56">
        <v>42890</v>
      </c>
      <c r="F441" s="8">
        <v>1131.83</v>
      </c>
      <c r="G441" s="8">
        <v>1131.83</v>
      </c>
      <c r="H441" s="56">
        <v>42916</v>
      </c>
      <c r="I441" s="24">
        <v>1131.83</v>
      </c>
      <c r="J441" s="77"/>
    </row>
    <row r="442" spans="1:11" ht="24" x14ac:dyDescent="0.25">
      <c r="A442" s="115">
        <v>426</v>
      </c>
      <c r="B442" s="60" t="s">
        <v>195</v>
      </c>
      <c r="C442" s="10" t="str">
        <f>"4/2015-MUP-250"</f>
        <v>4/2015-MUP-250</v>
      </c>
      <c r="D442" s="56">
        <v>42524</v>
      </c>
      <c r="E442" s="56">
        <v>42889</v>
      </c>
      <c r="F442" s="8">
        <v>1144.52</v>
      </c>
      <c r="G442" s="8">
        <v>1144.52</v>
      </c>
      <c r="H442" s="56">
        <v>43008</v>
      </c>
      <c r="I442" s="24">
        <v>1144.52</v>
      </c>
      <c r="J442" s="77"/>
      <c r="K442" s="48"/>
    </row>
    <row r="443" spans="1:11" ht="24" x14ac:dyDescent="0.25">
      <c r="A443" s="115">
        <v>427</v>
      </c>
      <c r="B443" s="60" t="s">
        <v>195</v>
      </c>
      <c r="C443" s="10" t="str">
        <f>"4/2015-MUP-234"</f>
        <v>4/2015-MUP-234</v>
      </c>
      <c r="D443" s="56">
        <v>42523</v>
      </c>
      <c r="E443" s="56">
        <v>42888</v>
      </c>
      <c r="F443" s="8">
        <v>968.98</v>
      </c>
      <c r="G443" s="8">
        <v>968.98</v>
      </c>
      <c r="H443" s="56">
        <v>42916</v>
      </c>
      <c r="I443" s="24">
        <v>968.98</v>
      </c>
      <c r="J443" s="77"/>
    </row>
    <row r="444" spans="1:11" ht="24" x14ac:dyDescent="0.25">
      <c r="A444" s="115">
        <v>428</v>
      </c>
      <c r="B444" s="60" t="s">
        <v>195</v>
      </c>
      <c r="C444" s="10" t="str">
        <f>"4/2015-MUP-233"</f>
        <v>4/2015-MUP-233</v>
      </c>
      <c r="D444" s="56">
        <v>42522</v>
      </c>
      <c r="E444" s="56">
        <v>42887</v>
      </c>
      <c r="F444" s="8">
        <v>1044.4000000000001</v>
      </c>
      <c r="G444" s="8">
        <v>1044.4000000000001</v>
      </c>
      <c r="H444" s="56">
        <v>42916</v>
      </c>
      <c r="I444" s="24">
        <v>1044.4000000000001</v>
      </c>
      <c r="J444" s="77"/>
    </row>
    <row r="445" spans="1:11" x14ac:dyDescent="0.25">
      <c r="A445" s="115">
        <v>429</v>
      </c>
      <c r="B445" s="60" t="s">
        <v>186</v>
      </c>
      <c r="C445" s="10" t="str">
        <f>"017000090774"</f>
        <v>017000090774</v>
      </c>
      <c r="D445" s="56">
        <v>42522</v>
      </c>
      <c r="E445" s="56">
        <v>42887</v>
      </c>
      <c r="F445" s="8">
        <v>151.12</v>
      </c>
      <c r="G445" s="8">
        <v>173.79</v>
      </c>
      <c r="H445" s="56">
        <v>42882</v>
      </c>
      <c r="I445" s="24">
        <v>151.12</v>
      </c>
      <c r="J445" s="77"/>
      <c r="K445" s="48"/>
    </row>
    <row r="446" spans="1:11" ht="36" x14ac:dyDescent="0.25">
      <c r="A446" s="115">
        <v>430</v>
      </c>
      <c r="B446" s="60" t="s">
        <v>188</v>
      </c>
      <c r="C446" s="10" t="str">
        <f>"BROJ 004700000248"</f>
        <v>BROJ 004700000248</v>
      </c>
      <c r="D446" s="56">
        <v>42524</v>
      </c>
      <c r="E446" s="56">
        <v>42886</v>
      </c>
      <c r="F446" s="8">
        <v>5016.4399999999996</v>
      </c>
      <c r="G446" s="8">
        <v>5016.4399999999996</v>
      </c>
      <c r="H446" s="56">
        <v>42825</v>
      </c>
      <c r="I446" s="24">
        <v>5016.4399999999996</v>
      </c>
      <c r="J446" s="77"/>
    </row>
    <row r="447" spans="1:11" ht="36" x14ac:dyDescent="0.25">
      <c r="A447" s="115">
        <v>431</v>
      </c>
      <c r="B447" s="60" t="s">
        <v>188</v>
      </c>
      <c r="C447" s="10" t="str">
        <f>"BROJ 017000090880"</f>
        <v>BROJ 017000090880</v>
      </c>
      <c r="D447" s="56">
        <v>42520</v>
      </c>
      <c r="E447" s="56">
        <v>42886</v>
      </c>
      <c r="F447" s="8">
        <v>664.08</v>
      </c>
      <c r="G447" s="8">
        <v>664.08</v>
      </c>
      <c r="H447" s="56">
        <v>42825</v>
      </c>
      <c r="I447" s="24">
        <v>664.08</v>
      </c>
      <c r="J447" s="77"/>
    </row>
    <row r="448" spans="1:11" ht="24" x14ac:dyDescent="0.25">
      <c r="A448" s="115">
        <v>432</v>
      </c>
      <c r="B448" s="60" t="s">
        <v>195</v>
      </c>
      <c r="C448" s="10" t="str">
        <f>"4/2015-MUP-232"</f>
        <v>4/2015-MUP-232</v>
      </c>
      <c r="D448" s="56">
        <v>42521</v>
      </c>
      <c r="E448" s="56">
        <v>42886</v>
      </c>
      <c r="F448" s="8">
        <v>762.41</v>
      </c>
      <c r="G448" s="8">
        <v>762.41</v>
      </c>
      <c r="H448" s="56">
        <v>42916</v>
      </c>
      <c r="I448" s="24">
        <v>762.41</v>
      </c>
      <c r="J448" s="77"/>
      <c r="K448" s="48"/>
    </row>
    <row r="449" spans="1:11" ht="36" x14ac:dyDescent="0.25">
      <c r="A449" s="115">
        <v>433</v>
      </c>
      <c r="B449" s="60" t="s">
        <v>188</v>
      </c>
      <c r="C449" s="10" t="str">
        <f>"BROJ 004700000247"</f>
        <v>BROJ 004700000247</v>
      </c>
      <c r="D449" s="56">
        <v>42524</v>
      </c>
      <c r="E449" s="56">
        <v>42885</v>
      </c>
      <c r="F449" s="8">
        <v>2270.27</v>
      </c>
      <c r="G449" s="8">
        <v>2270.27</v>
      </c>
      <c r="H449" s="56">
        <v>42825</v>
      </c>
      <c r="I449" s="24">
        <v>2270.27</v>
      </c>
      <c r="J449" s="77"/>
    </row>
    <row r="450" spans="1:11" ht="36" x14ac:dyDescent="0.25">
      <c r="A450" s="115">
        <v>434</v>
      </c>
      <c r="B450" s="60" t="s">
        <v>188</v>
      </c>
      <c r="C450" s="10" t="str">
        <f>"BROJ 017000090871"</f>
        <v>BROJ 017000090871</v>
      </c>
      <c r="D450" s="56">
        <v>42520</v>
      </c>
      <c r="E450" s="56">
        <v>42885</v>
      </c>
      <c r="F450" s="8">
        <v>479.73</v>
      </c>
      <c r="G450" s="8">
        <v>479.73</v>
      </c>
      <c r="H450" s="56">
        <v>42825</v>
      </c>
      <c r="I450" s="24">
        <v>479.73</v>
      </c>
      <c r="J450" s="77"/>
    </row>
    <row r="451" spans="1:11" ht="24" x14ac:dyDescent="0.25">
      <c r="A451" s="115">
        <v>435</v>
      </c>
      <c r="B451" s="60" t="s">
        <v>195</v>
      </c>
      <c r="C451" s="10" t="str">
        <f>"4/2015-MUP-231"</f>
        <v>4/2015-MUP-231</v>
      </c>
      <c r="D451" s="56">
        <v>42519</v>
      </c>
      <c r="E451" s="56">
        <v>42884</v>
      </c>
      <c r="F451" s="8">
        <v>232.7</v>
      </c>
      <c r="G451" s="8">
        <v>232.7</v>
      </c>
      <c r="H451" s="56">
        <v>42916</v>
      </c>
      <c r="I451" s="24">
        <v>232.7</v>
      </c>
      <c r="J451" s="77"/>
      <c r="K451" s="48"/>
    </row>
    <row r="452" spans="1:11" ht="24" x14ac:dyDescent="0.25">
      <c r="A452" s="115">
        <v>436</v>
      </c>
      <c r="B452" s="60" t="s">
        <v>195</v>
      </c>
      <c r="C452" s="10" t="str">
        <f>"4/2015-MUP-230"</f>
        <v>4/2015-MUP-230</v>
      </c>
      <c r="D452" s="56">
        <v>42518</v>
      </c>
      <c r="E452" s="56">
        <v>42883</v>
      </c>
      <c r="F452" s="8">
        <v>660.83</v>
      </c>
      <c r="G452" s="8">
        <v>660.83</v>
      </c>
      <c r="H452" s="56">
        <v>42916</v>
      </c>
      <c r="I452" s="24">
        <v>660.83</v>
      </c>
      <c r="J452" s="77"/>
    </row>
    <row r="453" spans="1:11" ht="24" x14ac:dyDescent="0.25">
      <c r="A453" s="115">
        <v>437</v>
      </c>
      <c r="B453" s="60" t="s">
        <v>195</v>
      </c>
      <c r="C453" s="10" t="str">
        <f>"4/2015-MUP-229"</f>
        <v>4/2015-MUP-229</v>
      </c>
      <c r="D453" s="56">
        <v>42517</v>
      </c>
      <c r="E453" s="56">
        <v>42882</v>
      </c>
      <c r="F453" s="8">
        <v>2808.21</v>
      </c>
      <c r="G453" s="8">
        <v>2808.21</v>
      </c>
      <c r="H453" s="56">
        <v>42916</v>
      </c>
      <c r="I453" s="24">
        <v>2808.21</v>
      </c>
      <c r="J453" s="77"/>
    </row>
    <row r="454" spans="1:11" ht="24" x14ac:dyDescent="0.25">
      <c r="A454" s="115">
        <v>438</v>
      </c>
      <c r="B454" s="60" t="s">
        <v>195</v>
      </c>
      <c r="C454" s="10" t="str">
        <f>"4/2015-MUP-228"</f>
        <v>4/2015-MUP-228</v>
      </c>
      <c r="D454" s="56">
        <v>42516</v>
      </c>
      <c r="E454" s="56">
        <v>42881</v>
      </c>
      <c r="F454" s="8">
        <v>23617.82</v>
      </c>
      <c r="G454" s="8">
        <v>23617.82</v>
      </c>
      <c r="H454" s="56">
        <v>42916</v>
      </c>
      <c r="I454" s="24">
        <v>23617.82</v>
      </c>
      <c r="J454" s="77"/>
      <c r="K454" s="48"/>
    </row>
    <row r="455" spans="1:11" x14ac:dyDescent="0.25">
      <c r="A455" s="115">
        <v>439</v>
      </c>
      <c r="B455" s="60" t="s">
        <v>186</v>
      </c>
      <c r="C455" s="10" t="str">
        <f>"017000090782"</f>
        <v>017000090782</v>
      </c>
      <c r="D455" s="56">
        <v>42516</v>
      </c>
      <c r="E455" s="56">
        <v>42881</v>
      </c>
      <c r="F455" s="8">
        <v>201.6</v>
      </c>
      <c r="G455" s="8">
        <v>231.84</v>
      </c>
      <c r="H455" s="56">
        <v>42551</v>
      </c>
      <c r="I455" s="24">
        <v>201.6</v>
      </c>
      <c r="J455" s="77"/>
    </row>
    <row r="456" spans="1:11" x14ac:dyDescent="0.25">
      <c r="A456" s="115">
        <v>440</v>
      </c>
      <c r="B456" s="60" t="s">
        <v>186</v>
      </c>
      <c r="C456" s="10" t="str">
        <f>"017000090790"</f>
        <v>017000090790</v>
      </c>
      <c r="D456" s="56">
        <v>42515</v>
      </c>
      <c r="E456" s="56">
        <v>42880</v>
      </c>
      <c r="F456" s="8">
        <v>201.6</v>
      </c>
      <c r="G456" s="8">
        <v>231.84</v>
      </c>
      <c r="H456" s="56">
        <v>42551</v>
      </c>
      <c r="I456" s="24">
        <v>201.6</v>
      </c>
      <c r="J456" s="77"/>
    </row>
    <row r="457" spans="1:11" x14ac:dyDescent="0.25">
      <c r="A457" s="115">
        <v>441</v>
      </c>
      <c r="B457" s="60" t="s">
        <v>186</v>
      </c>
      <c r="C457" s="10" t="str">
        <f>"017000090820"</f>
        <v>017000090820</v>
      </c>
      <c r="D457" s="56">
        <v>42515</v>
      </c>
      <c r="E457" s="56">
        <v>42880</v>
      </c>
      <c r="F457" s="8">
        <v>124.98</v>
      </c>
      <c r="G457" s="8">
        <v>143.72999999999999</v>
      </c>
      <c r="H457" s="56">
        <v>42551</v>
      </c>
      <c r="I457" s="24">
        <v>124.98</v>
      </c>
      <c r="J457" s="77"/>
      <c r="K457" s="48"/>
    </row>
    <row r="458" spans="1:11" x14ac:dyDescent="0.25">
      <c r="A458" s="115">
        <v>442</v>
      </c>
      <c r="B458" s="60" t="s">
        <v>186</v>
      </c>
      <c r="C458" s="10" t="str">
        <f>"017000090804"</f>
        <v>017000090804</v>
      </c>
      <c r="D458" s="56">
        <v>42514</v>
      </c>
      <c r="E458" s="56">
        <v>42879</v>
      </c>
      <c r="F458" s="8">
        <v>262.08</v>
      </c>
      <c r="G458" s="8">
        <v>301.39</v>
      </c>
      <c r="H458" s="56">
        <v>42551</v>
      </c>
      <c r="I458" s="24">
        <v>262.08</v>
      </c>
      <c r="J458" s="77"/>
    </row>
    <row r="459" spans="1:11" ht="24" x14ac:dyDescent="0.25">
      <c r="A459" s="115">
        <v>443</v>
      </c>
      <c r="B459" s="60" t="s">
        <v>195</v>
      </c>
      <c r="C459" s="10" t="str">
        <f>"4/2015-MUP-227"</f>
        <v>4/2015-MUP-227</v>
      </c>
      <c r="D459" s="56">
        <v>42514</v>
      </c>
      <c r="E459" s="56">
        <v>42879</v>
      </c>
      <c r="F459" s="8">
        <v>320.12</v>
      </c>
      <c r="G459" s="8">
        <v>320.12</v>
      </c>
      <c r="H459" s="56">
        <v>42916</v>
      </c>
      <c r="I459" s="24">
        <v>320.12</v>
      </c>
      <c r="J459" s="77"/>
    </row>
    <row r="460" spans="1:11" ht="24" x14ac:dyDescent="0.25">
      <c r="A460" s="115">
        <v>444</v>
      </c>
      <c r="B460" s="60" t="s">
        <v>195</v>
      </c>
      <c r="C460" s="10" t="str">
        <f>"4/2015-MUP-226"</f>
        <v>4/2015-MUP-226</v>
      </c>
      <c r="D460" s="56">
        <v>42513</v>
      </c>
      <c r="E460" s="56">
        <v>42878</v>
      </c>
      <c r="F460" s="8">
        <v>292.82</v>
      </c>
      <c r="G460" s="8">
        <v>292.82</v>
      </c>
      <c r="H460" s="56">
        <v>42916</v>
      </c>
      <c r="I460" s="24">
        <v>292.82</v>
      </c>
      <c r="J460" s="77"/>
      <c r="K460" s="48"/>
    </row>
    <row r="461" spans="1:11" ht="24" x14ac:dyDescent="0.25">
      <c r="A461" s="115">
        <v>445</v>
      </c>
      <c r="B461" s="60" t="s">
        <v>195</v>
      </c>
      <c r="C461" s="10" t="str">
        <f>"4/2015-MUP-225"</f>
        <v>4/2015-MUP-225</v>
      </c>
      <c r="D461" s="56">
        <v>42512</v>
      </c>
      <c r="E461" s="56">
        <v>42877</v>
      </c>
      <c r="F461" s="8">
        <v>23032.86</v>
      </c>
      <c r="G461" s="8">
        <v>23032.86</v>
      </c>
      <c r="H461" s="56">
        <v>42916</v>
      </c>
      <c r="I461" s="24">
        <v>23032.86</v>
      </c>
      <c r="J461" s="77"/>
    </row>
    <row r="462" spans="1:11" x14ac:dyDescent="0.25">
      <c r="A462" s="115">
        <v>446</v>
      </c>
      <c r="B462" s="60" t="s">
        <v>204</v>
      </c>
      <c r="C462" s="10" t="str">
        <f>"017000022540"</f>
        <v>017000022540</v>
      </c>
      <c r="D462" s="56">
        <v>42487</v>
      </c>
      <c r="E462" s="56">
        <v>42876</v>
      </c>
      <c r="F462" s="8">
        <v>231.84</v>
      </c>
      <c r="G462" s="8">
        <v>231.84</v>
      </c>
      <c r="H462" s="56">
        <v>42876</v>
      </c>
      <c r="I462" s="24">
        <v>231.84</v>
      </c>
      <c r="J462" s="77"/>
    </row>
    <row r="463" spans="1:11" ht="24" x14ac:dyDescent="0.25">
      <c r="A463" s="115">
        <v>447</v>
      </c>
      <c r="B463" s="60" t="s">
        <v>195</v>
      </c>
      <c r="C463" s="10" t="str">
        <f>"4/2015-MUP-224"</f>
        <v>4/2015-MUP-224</v>
      </c>
      <c r="D463" s="56">
        <v>42511</v>
      </c>
      <c r="E463" s="56">
        <v>42876</v>
      </c>
      <c r="F463" s="8">
        <v>11519.17</v>
      </c>
      <c r="G463" s="8">
        <v>11519.17</v>
      </c>
      <c r="H463" s="56">
        <v>42916</v>
      </c>
      <c r="I463" s="24">
        <v>11519.17</v>
      </c>
      <c r="J463" s="77"/>
      <c r="K463" s="48"/>
    </row>
    <row r="464" spans="1:11" ht="24" x14ac:dyDescent="0.25">
      <c r="A464" s="115">
        <v>448</v>
      </c>
      <c r="B464" s="60" t="s">
        <v>210</v>
      </c>
      <c r="C464" s="10" t="str">
        <f>"4/2015-MFINPU-16"</f>
        <v>4/2015-MFINPU-16</v>
      </c>
      <c r="D464" s="56">
        <v>42511</v>
      </c>
      <c r="E464" s="56">
        <v>42876</v>
      </c>
      <c r="F464" s="8">
        <v>429.01</v>
      </c>
      <c r="G464" s="8">
        <v>429.01</v>
      </c>
      <c r="H464" s="56">
        <v>42876</v>
      </c>
      <c r="I464" s="24">
        <v>429.01</v>
      </c>
      <c r="J464" s="77"/>
    </row>
    <row r="465" spans="1:11" ht="24" x14ac:dyDescent="0.25">
      <c r="A465" s="115">
        <v>449</v>
      </c>
      <c r="B465" s="60" t="s">
        <v>195</v>
      </c>
      <c r="C465" s="10" t="str">
        <f>"4/2015-MUP-223"</f>
        <v>4/2015-MUP-223</v>
      </c>
      <c r="D465" s="56">
        <v>42510</v>
      </c>
      <c r="E465" s="56">
        <v>42875</v>
      </c>
      <c r="F465" s="8">
        <v>16157.11</v>
      </c>
      <c r="G465" s="8">
        <v>16157.11</v>
      </c>
      <c r="H465" s="56">
        <v>42916</v>
      </c>
      <c r="I465" s="24">
        <v>16157.11</v>
      </c>
      <c r="J465" s="77"/>
    </row>
    <row r="466" spans="1:11" ht="24" x14ac:dyDescent="0.25">
      <c r="A466" s="115">
        <v>450</v>
      </c>
      <c r="B466" s="60" t="s">
        <v>195</v>
      </c>
      <c r="C466" s="10" t="str">
        <f>"4/2015-MUP-248"</f>
        <v>4/2015-MUP-248</v>
      </c>
      <c r="D466" s="56">
        <v>42509</v>
      </c>
      <c r="E466" s="56">
        <v>42874</v>
      </c>
      <c r="F466" s="8">
        <v>395.08</v>
      </c>
      <c r="G466" s="8">
        <v>395.08</v>
      </c>
      <c r="H466" s="56">
        <v>42916</v>
      </c>
      <c r="I466" s="24">
        <v>395.08</v>
      </c>
      <c r="J466" s="77"/>
      <c r="K466" s="48"/>
    </row>
    <row r="467" spans="1:11" ht="24" x14ac:dyDescent="0.25">
      <c r="A467" s="115">
        <v>451</v>
      </c>
      <c r="B467" s="60" t="s">
        <v>195</v>
      </c>
      <c r="C467" s="10" t="str">
        <f>"4/2015-MUP-222"</f>
        <v>4/2015-MUP-222</v>
      </c>
      <c r="D467" s="56">
        <v>42508</v>
      </c>
      <c r="E467" s="56">
        <v>42873</v>
      </c>
      <c r="F467" s="8">
        <v>218.3</v>
      </c>
      <c r="G467" s="8">
        <v>218.3</v>
      </c>
      <c r="H467" s="56">
        <v>42916</v>
      </c>
      <c r="I467" s="24">
        <v>218.3</v>
      </c>
      <c r="J467" s="77"/>
    </row>
    <row r="468" spans="1:11" ht="24" x14ac:dyDescent="0.25">
      <c r="A468" s="115">
        <v>452</v>
      </c>
      <c r="B468" s="60" t="s">
        <v>195</v>
      </c>
      <c r="C468" s="10" t="str">
        <f>"4/2015-MUP-220"</f>
        <v>4/2015-MUP-220</v>
      </c>
      <c r="D468" s="56">
        <v>42507</v>
      </c>
      <c r="E468" s="56">
        <v>42872</v>
      </c>
      <c r="F468" s="8">
        <v>10016.379999999999</v>
      </c>
      <c r="G468" s="8">
        <v>10016.379999999999</v>
      </c>
      <c r="H468" s="56">
        <v>42916</v>
      </c>
      <c r="I468" s="24">
        <v>10016.379999999999</v>
      </c>
      <c r="J468" s="77"/>
    </row>
    <row r="469" spans="1:11" ht="24" x14ac:dyDescent="0.25">
      <c r="A469" s="115">
        <v>453</v>
      </c>
      <c r="B469" s="60" t="s">
        <v>195</v>
      </c>
      <c r="C469" s="10" t="str">
        <f>"4/2015-MUP-221"</f>
        <v>4/2015-MUP-221</v>
      </c>
      <c r="D469" s="56">
        <v>42507</v>
      </c>
      <c r="E469" s="56">
        <v>42872</v>
      </c>
      <c r="F469" s="8">
        <v>653.52</v>
      </c>
      <c r="G469" s="8">
        <v>653.52</v>
      </c>
      <c r="H469" s="56">
        <v>42916</v>
      </c>
      <c r="I469" s="24">
        <v>653.52</v>
      </c>
      <c r="J469" s="77"/>
      <c r="K469" s="48"/>
    </row>
    <row r="470" spans="1:11" ht="24" x14ac:dyDescent="0.25">
      <c r="A470" s="115">
        <v>454</v>
      </c>
      <c r="B470" s="60" t="s">
        <v>195</v>
      </c>
      <c r="C470" s="10" t="str">
        <f>"4/2015-MUP-219"</f>
        <v>4/2015-MUP-219</v>
      </c>
      <c r="D470" s="56">
        <v>42505</v>
      </c>
      <c r="E470" s="56">
        <v>42870</v>
      </c>
      <c r="F470" s="8">
        <v>549.85</v>
      </c>
      <c r="G470" s="8">
        <v>549.85</v>
      </c>
      <c r="H470" s="56">
        <v>42916</v>
      </c>
      <c r="I470" s="24">
        <v>549.85</v>
      </c>
      <c r="J470" s="77"/>
    </row>
    <row r="471" spans="1:11" ht="24" x14ac:dyDescent="0.25">
      <c r="A471" s="115">
        <v>455</v>
      </c>
      <c r="B471" s="60" t="s">
        <v>195</v>
      </c>
      <c r="C471" s="10" t="str">
        <f>"4/2015-MUP-247"</f>
        <v>4/2015-MUP-247</v>
      </c>
      <c r="D471" s="56">
        <v>42504</v>
      </c>
      <c r="E471" s="56">
        <v>42869</v>
      </c>
      <c r="F471" s="8">
        <v>1956.01</v>
      </c>
      <c r="G471" s="8">
        <v>1956.01</v>
      </c>
      <c r="H471" s="56">
        <v>42916</v>
      </c>
      <c r="I471" s="24">
        <v>1956.01</v>
      </c>
      <c r="J471" s="77"/>
    </row>
    <row r="472" spans="1:11" ht="24" x14ac:dyDescent="0.25">
      <c r="A472" s="115">
        <v>456</v>
      </c>
      <c r="B472" s="60" t="s">
        <v>210</v>
      </c>
      <c r="C472" s="10" t="str">
        <f>"4/2015-MFINPU-17"</f>
        <v>4/2015-MFINPU-17</v>
      </c>
      <c r="D472" s="56">
        <v>42503</v>
      </c>
      <c r="E472" s="56">
        <v>42868</v>
      </c>
      <c r="F472" s="8">
        <v>4918.22</v>
      </c>
      <c r="G472" s="8">
        <v>4918.22</v>
      </c>
      <c r="H472" s="56">
        <v>42868</v>
      </c>
      <c r="I472" s="24">
        <v>4918.22</v>
      </c>
      <c r="J472" s="77"/>
      <c r="K472" s="48"/>
    </row>
    <row r="473" spans="1:11" ht="24" x14ac:dyDescent="0.25">
      <c r="A473" s="115">
        <v>457</v>
      </c>
      <c r="B473" s="60" t="s">
        <v>195</v>
      </c>
      <c r="C473" s="10" t="str">
        <f>"4/2015-MUP-218"</f>
        <v>4/2015-MUP-218</v>
      </c>
      <c r="D473" s="56">
        <v>42503</v>
      </c>
      <c r="E473" s="56">
        <v>42868</v>
      </c>
      <c r="F473" s="8">
        <v>476.32</v>
      </c>
      <c r="G473" s="8">
        <v>476.32</v>
      </c>
      <c r="H473" s="56">
        <v>42916</v>
      </c>
      <c r="I473" s="24">
        <v>476.32</v>
      </c>
      <c r="J473" s="77"/>
    </row>
    <row r="474" spans="1:11" ht="24" x14ac:dyDescent="0.25">
      <c r="A474" s="115">
        <v>458</v>
      </c>
      <c r="B474" s="60" t="s">
        <v>195</v>
      </c>
      <c r="C474" s="10" t="str">
        <f>"4/2015-MUP-217"</f>
        <v>4/2015-MUP-217</v>
      </c>
      <c r="D474" s="56">
        <v>42502</v>
      </c>
      <c r="E474" s="56">
        <v>42867</v>
      </c>
      <c r="F474" s="8">
        <v>8312.4599999999991</v>
      </c>
      <c r="G474" s="8">
        <v>8312.4599999999991</v>
      </c>
      <c r="H474" s="56">
        <v>42916</v>
      </c>
      <c r="I474" s="24">
        <v>8312.4599999999991</v>
      </c>
      <c r="J474" s="77"/>
    </row>
    <row r="475" spans="1:11" ht="24" x14ac:dyDescent="0.25">
      <c r="A475" s="115">
        <v>459</v>
      </c>
      <c r="B475" s="60" t="s">
        <v>195</v>
      </c>
      <c r="C475" s="10" t="str">
        <f>"4/2015-MUP-216"</f>
        <v>4/2015-MUP-216</v>
      </c>
      <c r="D475" s="56">
        <v>42501</v>
      </c>
      <c r="E475" s="56">
        <v>42866</v>
      </c>
      <c r="F475" s="8">
        <v>1162.8499999999999</v>
      </c>
      <c r="G475" s="8">
        <v>1162.8499999999999</v>
      </c>
      <c r="H475" s="56">
        <v>42916</v>
      </c>
      <c r="I475" s="24">
        <v>1162.8499999999999</v>
      </c>
      <c r="J475" s="77"/>
      <c r="K475" s="48"/>
    </row>
    <row r="476" spans="1:11" ht="24" x14ac:dyDescent="0.25">
      <c r="A476" s="115">
        <v>460</v>
      </c>
      <c r="B476" s="60" t="s">
        <v>195</v>
      </c>
      <c r="C476" s="10" t="str">
        <f>"4/2015-MUP-215"</f>
        <v>4/2015-MUP-215</v>
      </c>
      <c r="D476" s="56">
        <v>42500</v>
      </c>
      <c r="E476" s="56">
        <v>42865</v>
      </c>
      <c r="F476" s="8">
        <v>1742.44</v>
      </c>
      <c r="G476" s="8">
        <v>1742.44</v>
      </c>
      <c r="H476" s="56">
        <v>42916</v>
      </c>
      <c r="I476" s="24">
        <v>1742.44</v>
      </c>
      <c r="J476" s="77"/>
    </row>
    <row r="477" spans="1:11" ht="24" x14ac:dyDescent="0.25">
      <c r="A477" s="115">
        <v>461</v>
      </c>
      <c r="B477" s="60" t="s">
        <v>195</v>
      </c>
      <c r="C477" s="10" t="str">
        <f>"4/2015-MUP-214"</f>
        <v>4/2015-MUP-214</v>
      </c>
      <c r="D477" s="56">
        <v>42499</v>
      </c>
      <c r="E477" s="56">
        <v>42864</v>
      </c>
      <c r="F477" s="8">
        <v>2043.36</v>
      </c>
      <c r="G477" s="8">
        <v>2043.36</v>
      </c>
      <c r="H477" s="56">
        <v>42916</v>
      </c>
      <c r="I477" s="24">
        <v>2043.36</v>
      </c>
      <c r="J477" s="77"/>
    </row>
    <row r="478" spans="1:11" ht="24" x14ac:dyDescent="0.25">
      <c r="A478" s="115">
        <v>462</v>
      </c>
      <c r="B478" s="60" t="s">
        <v>195</v>
      </c>
      <c r="C478" s="10" t="str">
        <f>"4/2015-MUP-213"</f>
        <v>4/2015-MUP-213</v>
      </c>
      <c r="D478" s="56">
        <v>42498</v>
      </c>
      <c r="E478" s="56">
        <v>42863</v>
      </c>
      <c r="F478" s="8">
        <v>195.17</v>
      </c>
      <c r="G478" s="8">
        <v>195.17</v>
      </c>
      <c r="H478" s="56">
        <v>42916</v>
      </c>
      <c r="I478" s="24">
        <v>195.17</v>
      </c>
      <c r="J478" s="77"/>
      <c r="K478" s="48"/>
    </row>
    <row r="479" spans="1:11" ht="24" x14ac:dyDescent="0.25">
      <c r="A479" s="115">
        <v>463</v>
      </c>
      <c r="B479" s="60" t="s">
        <v>17</v>
      </c>
      <c r="C479" s="10" t="str">
        <f>"POL 17000018038"</f>
        <v>POL 17000018038</v>
      </c>
      <c r="D479" s="56">
        <v>42498</v>
      </c>
      <c r="E479" s="56">
        <v>42863</v>
      </c>
      <c r="F479" s="8">
        <v>417.16</v>
      </c>
      <c r="G479" s="8">
        <v>479.73</v>
      </c>
      <c r="H479" s="56">
        <v>42863</v>
      </c>
      <c r="I479" s="24">
        <v>417.16</v>
      </c>
      <c r="J479" s="77"/>
    </row>
    <row r="480" spans="1:11" ht="24" x14ac:dyDescent="0.25">
      <c r="A480" s="115">
        <v>464</v>
      </c>
      <c r="B480" s="60" t="s">
        <v>17</v>
      </c>
      <c r="C480" s="10" t="str">
        <f>"POL 17000017988"</f>
        <v>POL 17000017988</v>
      </c>
      <c r="D480" s="56">
        <v>42498</v>
      </c>
      <c r="E480" s="56">
        <v>42863</v>
      </c>
      <c r="F480" s="8">
        <v>417.16</v>
      </c>
      <c r="G480" s="8">
        <v>479.73</v>
      </c>
      <c r="H480" s="56">
        <v>42863</v>
      </c>
      <c r="I480" s="24">
        <v>417.16</v>
      </c>
      <c r="J480" s="77"/>
    </row>
    <row r="481" spans="1:11" ht="24" x14ac:dyDescent="0.25">
      <c r="A481" s="115">
        <v>465</v>
      </c>
      <c r="B481" s="60" t="s">
        <v>17</v>
      </c>
      <c r="C481" s="10" t="str">
        <f>"POL 17000018011"</f>
        <v>POL 17000018011</v>
      </c>
      <c r="D481" s="56">
        <v>42498</v>
      </c>
      <c r="E481" s="56">
        <v>42863</v>
      </c>
      <c r="F481" s="8">
        <v>417.16</v>
      </c>
      <c r="G481" s="8">
        <v>479.73</v>
      </c>
      <c r="H481" s="56">
        <v>42863</v>
      </c>
      <c r="I481" s="24">
        <v>417.16</v>
      </c>
      <c r="J481" s="77"/>
      <c r="K481" s="48"/>
    </row>
    <row r="482" spans="1:11" ht="24" x14ac:dyDescent="0.25">
      <c r="A482" s="115">
        <v>466</v>
      </c>
      <c r="B482" s="60" t="s">
        <v>17</v>
      </c>
      <c r="C482" s="10" t="str">
        <f>"POL 17000018003"</f>
        <v>POL 17000018003</v>
      </c>
      <c r="D482" s="56">
        <v>42498</v>
      </c>
      <c r="E482" s="56">
        <v>42863</v>
      </c>
      <c r="F482" s="8">
        <v>417.16</v>
      </c>
      <c r="G482" s="8">
        <v>479.73</v>
      </c>
      <c r="H482" s="56">
        <v>42863</v>
      </c>
      <c r="I482" s="24">
        <v>417.16</v>
      </c>
      <c r="J482" s="77"/>
    </row>
    <row r="483" spans="1:11" ht="24" x14ac:dyDescent="0.25">
      <c r="A483" s="115">
        <v>467</v>
      </c>
      <c r="B483" s="60" t="s">
        <v>17</v>
      </c>
      <c r="C483" s="10" t="str">
        <f>"POL 17000017996"</f>
        <v>POL 17000017996</v>
      </c>
      <c r="D483" s="56">
        <v>42498</v>
      </c>
      <c r="E483" s="56">
        <v>42863</v>
      </c>
      <c r="F483" s="8">
        <v>417.16</v>
      </c>
      <c r="G483" s="8">
        <v>479.73</v>
      </c>
      <c r="H483" s="56">
        <v>42863</v>
      </c>
      <c r="I483" s="24">
        <v>417.16</v>
      </c>
      <c r="J483" s="77"/>
    </row>
    <row r="484" spans="1:11" ht="24" x14ac:dyDescent="0.25">
      <c r="A484" s="115">
        <v>468</v>
      </c>
      <c r="B484" s="60" t="s">
        <v>17</v>
      </c>
      <c r="C484" s="10" t="str">
        <f>"POL 17000018020"</f>
        <v>POL 17000018020</v>
      </c>
      <c r="D484" s="56">
        <v>42498</v>
      </c>
      <c r="E484" s="56">
        <v>42863</v>
      </c>
      <c r="F484" s="8">
        <v>417.16</v>
      </c>
      <c r="G484" s="8">
        <v>479.73</v>
      </c>
      <c r="H484" s="56">
        <v>42863</v>
      </c>
      <c r="I484" s="24">
        <v>417.16</v>
      </c>
      <c r="J484" s="77"/>
      <c r="K484" s="48"/>
    </row>
    <row r="485" spans="1:11" ht="24" x14ac:dyDescent="0.25">
      <c r="A485" s="115">
        <v>469</v>
      </c>
      <c r="B485" s="60" t="s">
        <v>17</v>
      </c>
      <c r="C485" s="10" t="str">
        <f>"POL 17000017970"</f>
        <v>POL 17000017970</v>
      </c>
      <c r="D485" s="56">
        <v>42498</v>
      </c>
      <c r="E485" s="56">
        <v>42863</v>
      </c>
      <c r="F485" s="8">
        <v>380.27</v>
      </c>
      <c r="G485" s="8">
        <v>437.31</v>
      </c>
      <c r="H485" s="56">
        <v>42863</v>
      </c>
      <c r="I485" s="24">
        <v>380.27</v>
      </c>
      <c r="J485" s="77"/>
    </row>
    <row r="486" spans="1:11" ht="24" x14ac:dyDescent="0.25">
      <c r="A486" s="115">
        <v>470</v>
      </c>
      <c r="B486" s="60" t="s">
        <v>195</v>
      </c>
      <c r="C486" s="10" t="str">
        <f>"4/2015-MUP-212"</f>
        <v>4/2015-MUP-212</v>
      </c>
      <c r="D486" s="56">
        <v>42497</v>
      </c>
      <c r="E486" s="56">
        <v>42862</v>
      </c>
      <c r="F486" s="8">
        <v>33434.58</v>
      </c>
      <c r="G486" s="8">
        <v>33434.58</v>
      </c>
      <c r="H486" s="56">
        <v>42916</v>
      </c>
      <c r="I486" s="24">
        <v>33434.58</v>
      </c>
      <c r="J486" s="77"/>
    </row>
    <row r="487" spans="1:11" x14ac:dyDescent="0.25">
      <c r="A487" s="115">
        <v>471</v>
      </c>
      <c r="B487" s="60" t="s">
        <v>186</v>
      </c>
      <c r="C487" s="10" t="str">
        <f>"004700000200"</f>
        <v>004700000200</v>
      </c>
      <c r="D487" s="56">
        <v>42496</v>
      </c>
      <c r="E487" s="56">
        <v>42861</v>
      </c>
      <c r="F487" s="8">
        <v>2063.88</v>
      </c>
      <c r="G487" s="8">
        <v>2270.27</v>
      </c>
      <c r="H487" s="56">
        <v>42551</v>
      </c>
      <c r="I487" s="24">
        <v>2063.88</v>
      </c>
      <c r="J487" s="77"/>
      <c r="K487" s="48"/>
    </row>
    <row r="488" spans="1:11" ht="24" x14ac:dyDescent="0.25">
      <c r="A488" s="115">
        <v>472</v>
      </c>
      <c r="B488" s="60" t="s">
        <v>195</v>
      </c>
      <c r="C488" s="10" t="str">
        <f>"4/2015-MUP-211"</f>
        <v>4/2015-MUP-211</v>
      </c>
      <c r="D488" s="56">
        <v>42496</v>
      </c>
      <c r="E488" s="56">
        <v>42861</v>
      </c>
      <c r="F488" s="8">
        <v>15225.4</v>
      </c>
      <c r="G488" s="8">
        <v>15225.4</v>
      </c>
      <c r="H488" s="56">
        <v>42916</v>
      </c>
      <c r="I488" s="24">
        <v>15225.4</v>
      </c>
      <c r="J488" s="77"/>
    </row>
    <row r="489" spans="1:11" x14ac:dyDescent="0.25">
      <c r="A489" s="115">
        <v>473</v>
      </c>
      <c r="B489" s="60" t="s">
        <v>186</v>
      </c>
      <c r="C489" s="10" t="str">
        <f>"004700000206"</f>
        <v>004700000206</v>
      </c>
      <c r="D489" s="56">
        <v>42496</v>
      </c>
      <c r="E489" s="56">
        <v>42861</v>
      </c>
      <c r="F489" s="8">
        <v>2063.88</v>
      </c>
      <c r="G489" s="8">
        <v>2270.27</v>
      </c>
      <c r="H489" s="56">
        <v>42551</v>
      </c>
      <c r="I489" s="24">
        <v>2063.88</v>
      </c>
      <c r="J489" s="77"/>
    </row>
    <row r="490" spans="1:11" ht="24" x14ac:dyDescent="0.25">
      <c r="A490" s="115">
        <v>474</v>
      </c>
      <c r="B490" s="60" t="s">
        <v>195</v>
      </c>
      <c r="C490" s="10" t="str">
        <f>"4/2015-MUP-210"</f>
        <v>4/2015-MUP-210</v>
      </c>
      <c r="D490" s="56">
        <v>42495</v>
      </c>
      <c r="E490" s="56">
        <v>42860</v>
      </c>
      <c r="F490" s="8">
        <v>10039.709999999999</v>
      </c>
      <c r="G490" s="8">
        <v>10039.709999999999</v>
      </c>
      <c r="H490" s="56">
        <v>42916</v>
      </c>
      <c r="I490" s="24">
        <v>10039.709999999999</v>
      </c>
      <c r="J490" s="77"/>
      <c r="K490" s="48"/>
    </row>
    <row r="491" spans="1:11" ht="24" x14ac:dyDescent="0.25">
      <c r="A491" s="115">
        <v>475</v>
      </c>
      <c r="B491" s="60" t="s">
        <v>195</v>
      </c>
      <c r="C491" s="10" t="str">
        <f>"4/2015-MUP-209"</f>
        <v>4/2015-MUP-209</v>
      </c>
      <c r="D491" s="56">
        <v>42494</v>
      </c>
      <c r="E491" s="56">
        <v>42859</v>
      </c>
      <c r="F491" s="8">
        <v>11596.12</v>
      </c>
      <c r="G491" s="8">
        <v>11596.12</v>
      </c>
      <c r="H491" s="56">
        <v>42916</v>
      </c>
      <c r="I491" s="24">
        <v>11596.12</v>
      </c>
      <c r="J491" s="77"/>
    </row>
    <row r="492" spans="1:11" ht="24" x14ac:dyDescent="0.25">
      <c r="A492" s="115">
        <v>476</v>
      </c>
      <c r="B492" s="60" t="s">
        <v>195</v>
      </c>
      <c r="C492" s="10" t="str">
        <f>"4/2015-MUP-207"</f>
        <v>4/2015-MUP-207</v>
      </c>
      <c r="D492" s="56">
        <v>42492</v>
      </c>
      <c r="E492" s="56">
        <v>42857</v>
      </c>
      <c r="F492" s="8">
        <v>5227.3999999999996</v>
      </c>
      <c r="G492" s="8">
        <v>5227.3999999999996</v>
      </c>
      <c r="H492" s="56">
        <v>42916</v>
      </c>
      <c r="I492" s="24">
        <v>5227.3999999999996</v>
      </c>
      <c r="J492" s="77"/>
    </row>
    <row r="493" spans="1:11" x14ac:dyDescent="0.25">
      <c r="A493" s="115">
        <v>477</v>
      </c>
      <c r="B493" s="60" t="s">
        <v>186</v>
      </c>
      <c r="C493" s="10" t="str">
        <f>"004700000208"</f>
        <v>004700000208</v>
      </c>
      <c r="D493" s="56">
        <v>42490</v>
      </c>
      <c r="E493" s="56">
        <v>42855</v>
      </c>
      <c r="F493" s="8">
        <v>2063.88</v>
      </c>
      <c r="G493" s="8">
        <v>2270.27</v>
      </c>
      <c r="H493" s="56">
        <v>42551</v>
      </c>
      <c r="I493" s="24">
        <v>2063.88</v>
      </c>
      <c r="J493" s="77"/>
      <c r="K493" s="48"/>
    </row>
    <row r="494" spans="1:11" x14ac:dyDescent="0.25">
      <c r="A494" s="115">
        <v>478</v>
      </c>
      <c r="B494" s="60" t="s">
        <v>186</v>
      </c>
      <c r="C494" s="10" t="str">
        <f>"017000020873"</f>
        <v>017000020873</v>
      </c>
      <c r="D494" s="56">
        <v>42490</v>
      </c>
      <c r="E494" s="56">
        <v>42855</v>
      </c>
      <c r="F494" s="8">
        <v>346.17</v>
      </c>
      <c r="G494" s="8">
        <v>398.1</v>
      </c>
      <c r="H494" s="56">
        <v>42551</v>
      </c>
      <c r="I494" s="24">
        <v>346.17</v>
      </c>
      <c r="J494" s="77"/>
    </row>
    <row r="495" spans="1:11" ht="24" x14ac:dyDescent="0.25">
      <c r="A495" s="115">
        <v>479</v>
      </c>
      <c r="B495" s="60" t="s">
        <v>195</v>
      </c>
      <c r="C495" s="10" t="str">
        <f>"4/2015-MUP-206"</f>
        <v>4/2015-MUP-206</v>
      </c>
      <c r="D495" s="56">
        <v>42490</v>
      </c>
      <c r="E495" s="56">
        <v>42855</v>
      </c>
      <c r="F495" s="8">
        <v>2343.4699999999998</v>
      </c>
      <c r="G495" s="8">
        <v>2343.4699999999998</v>
      </c>
      <c r="H495" s="56">
        <v>42916</v>
      </c>
      <c r="I495" s="24">
        <v>2343.4699999999998</v>
      </c>
      <c r="J495" s="77"/>
    </row>
    <row r="496" spans="1:11" x14ac:dyDescent="0.25">
      <c r="A496" s="115">
        <v>480</v>
      </c>
      <c r="B496" s="60" t="s">
        <v>186</v>
      </c>
      <c r="C496" s="10" t="str">
        <f>"004700000202"</f>
        <v>004700000202</v>
      </c>
      <c r="D496" s="56">
        <v>42490</v>
      </c>
      <c r="E496" s="56">
        <v>42855</v>
      </c>
      <c r="F496" s="8">
        <v>2063.88</v>
      </c>
      <c r="G496" s="8">
        <v>2270.27</v>
      </c>
      <c r="H496" s="56">
        <v>42551</v>
      </c>
      <c r="I496" s="24">
        <v>2063.88</v>
      </c>
      <c r="J496" s="77"/>
      <c r="K496" s="48"/>
    </row>
    <row r="497" spans="1:11" x14ac:dyDescent="0.25">
      <c r="A497" s="115">
        <v>481</v>
      </c>
      <c r="B497" s="60" t="s">
        <v>186</v>
      </c>
      <c r="C497" s="10" t="str">
        <f>"017000018224"</f>
        <v>017000018224</v>
      </c>
      <c r="D497" s="56">
        <v>42490</v>
      </c>
      <c r="E497" s="56">
        <v>42855</v>
      </c>
      <c r="F497" s="8">
        <v>346.17</v>
      </c>
      <c r="G497" s="8">
        <v>398.1</v>
      </c>
      <c r="H497" s="56">
        <v>42551</v>
      </c>
      <c r="I497" s="24">
        <v>346.17</v>
      </c>
      <c r="J497" s="77"/>
    </row>
    <row r="498" spans="1:11" ht="24" x14ac:dyDescent="0.25">
      <c r="A498" s="115">
        <v>482</v>
      </c>
      <c r="B498" s="60" t="s">
        <v>195</v>
      </c>
      <c r="C498" s="10" t="str">
        <f>"4/2015-MUP-205"</f>
        <v>4/2015-MUP-205</v>
      </c>
      <c r="D498" s="56">
        <v>42489</v>
      </c>
      <c r="E498" s="56">
        <v>42854</v>
      </c>
      <c r="F498" s="8">
        <v>6972.39</v>
      </c>
      <c r="G498" s="8">
        <v>6972.39</v>
      </c>
      <c r="H498" s="56">
        <v>42916</v>
      </c>
      <c r="I498" s="24">
        <v>6972.39</v>
      </c>
      <c r="J498" s="77"/>
    </row>
    <row r="499" spans="1:11" ht="24" x14ac:dyDescent="0.25">
      <c r="A499" s="115">
        <v>483</v>
      </c>
      <c r="B499" s="60" t="s">
        <v>17</v>
      </c>
      <c r="C499" s="10" t="str">
        <f>"POL 17000017961"</f>
        <v>POL 17000017961</v>
      </c>
      <c r="D499" s="56">
        <v>42489</v>
      </c>
      <c r="E499" s="56">
        <v>42854</v>
      </c>
      <c r="F499" s="8">
        <v>577.46</v>
      </c>
      <c r="G499" s="8">
        <v>664.08</v>
      </c>
      <c r="H499" s="56">
        <v>42854</v>
      </c>
      <c r="I499" s="24">
        <v>577.46</v>
      </c>
      <c r="J499" s="77"/>
      <c r="K499" s="48"/>
    </row>
    <row r="500" spans="1:11" ht="24" x14ac:dyDescent="0.25">
      <c r="A500" s="115">
        <v>484</v>
      </c>
      <c r="B500" s="60" t="s">
        <v>17</v>
      </c>
      <c r="C500" s="10" t="str">
        <f>"POL 17000017953"</f>
        <v>POL 17000017953</v>
      </c>
      <c r="D500" s="56">
        <v>42489</v>
      </c>
      <c r="E500" s="56">
        <v>42854</v>
      </c>
      <c r="F500" s="8">
        <v>577.46</v>
      </c>
      <c r="G500" s="8">
        <v>664.08</v>
      </c>
      <c r="H500" s="56">
        <v>42854</v>
      </c>
      <c r="I500" s="24">
        <v>577.46</v>
      </c>
      <c r="J500" s="77"/>
    </row>
    <row r="501" spans="1:11" ht="24" x14ac:dyDescent="0.25">
      <c r="A501" s="115">
        <v>485</v>
      </c>
      <c r="B501" s="60" t="s">
        <v>195</v>
      </c>
      <c r="C501" s="10" t="str">
        <f>"4/2015-MUP-204"</f>
        <v>4/2015-MUP-204</v>
      </c>
      <c r="D501" s="56">
        <v>42488</v>
      </c>
      <c r="E501" s="56">
        <v>42853</v>
      </c>
      <c r="F501" s="8">
        <v>7066.97</v>
      </c>
      <c r="G501" s="8">
        <v>7066.97</v>
      </c>
      <c r="H501" s="56">
        <v>42916</v>
      </c>
      <c r="I501" s="24">
        <v>7066.97</v>
      </c>
      <c r="J501" s="77"/>
    </row>
    <row r="502" spans="1:11" ht="24" x14ac:dyDescent="0.25">
      <c r="A502" s="115">
        <v>486</v>
      </c>
      <c r="B502" s="60" t="s">
        <v>195</v>
      </c>
      <c r="C502" s="10" t="str">
        <f>"4/2015-MUP-203"</f>
        <v>4/2015-MUP-203</v>
      </c>
      <c r="D502" s="56">
        <v>42487</v>
      </c>
      <c r="E502" s="56">
        <v>42852</v>
      </c>
      <c r="F502" s="8">
        <v>5491.03</v>
      </c>
      <c r="G502" s="8">
        <v>5491.03</v>
      </c>
      <c r="H502" s="56">
        <v>42916</v>
      </c>
      <c r="I502" s="24">
        <v>5491.03</v>
      </c>
      <c r="J502" s="77"/>
      <c r="K502" s="48"/>
    </row>
    <row r="503" spans="1:11" ht="24" x14ac:dyDescent="0.25">
      <c r="A503" s="115">
        <v>487</v>
      </c>
      <c r="B503" s="60" t="s">
        <v>195</v>
      </c>
      <c r="C503" s="10" t="str">
        <f>"4/2015-MUP-202"</f>
        <v>4/2015-MUP-202</v>
      </c>
      <c r="D503" s="56">
        <v>42486</v>
      </c>
      <c r="E503" s="56">
        <v>42851</v>
      </c>
      <c r="F503" s="8">
        <v>497.49</v>
      </c>
      <c r="G503" s="8">
        <v>497.49</v>
      </c>
      <c r="H503" s="56">
        <v>42916</v>
      </c>
      <c r="I503" s="24">
        <v>497.49</v>
      </c>
      <c r="J503" s="77"/>
    </row>
    <row r="504" spans="1:11" ht="24" x14ac:dyDescent="0.25">
      <c r="A504" s="115">
        <v>488</v>
      </c>
      <c r="B504" s="60" t="s">
        <v>195</v>
      </c>
      <c r="C504" s="10" t="str">
        <f>"4/2015-MUP-201"</f>
        <v>4/2015-MUP-201</v>
      </c>
      <c r="D504" s="56">
        <v>42485</v>
      </c>
      <c r="E504" s="56">
        <v>42850</v>
      </c>
      <c r="F504" s="8">
        <v>776.43</v>
      </c>
      <c r="G504" s="8">
        <v>776.43</v>
      </c>
      <c r="H504" s="56">
        <v>42916</v>
      </c>
      <c r="I504" s="24">
        <v>776.43</v>
      </c>
      <c r="J504" s="77"/>
    </row>
    <row r="505" spans="1:11" ht="24" x14ac:dyDescent="0.25">
      <c r="A505" s="115">
        <v>489</v>
      </c>
      <c r="B505" s="60" t="s">
        <v>195</v>
      </c>
      <c r="C505" s="10" t="str">
        <f>"4/2015-MUP-200"</f>
        <v>4/2015-MUP-200</v>
      </c>
      <c r="D505" s="56">
        <v>42484</v>
      </c>
      <c r="E505" s="56">
        <v>42849</v>
      </c>
      <c r="F505" s="8">
        <v>30178.19</v>
      </c>
      <c r="G505" s="8">
        <v>30178.19</v>
      </c>
      <c r="H505" s="56">
        <v>42916</v>
      </c>
      <c r="I505" s="24">
        <v>30178.19</v>
      </c>
      <c r="J505" s="77"/>
      <c r="K505" s="48"/>
    </row>
    <row r="506" spans="1:11" ht="24" x14ac:dyDescent="0.25">
      <c r="A506" s="115">
        <v>490</v>
      </c>
      <c r="B506" s="60" t="s">
        <v>195</v>
      </c>
      <c r="C506" s="10" t="str">
        <f>"4/2015-MUP-199"</f>
        <v>4/2015-MUP-199</v>
      </c>
      <c r="D506" s="56">
        <v>42483</v>
      </c>
      <c r="E506" s="56">
        <v>42848</v>
      </c>
      <c r="F506" s="8">
        <v>564.4</v>
      </c>
      <c r="G506" s="8">
        <v>564.4</v>
      </c>
      <c r="H506" s="56">
        <v>42916</v>
      </c>
      <c r="I506" s="24">
        <v>564.4</v>
      </c>
      <c r="J506" s="77"/>
    </row>
    <row r="507" spans="1:11" ht="24" x14ac:dyDescent="0.25">
      <c r="A507" s="115">
        <v>491</v>
      </c>
      <c r="B507" s="60" t="s">
        <v>195</v>
      </c>
      <c r="C507" s="10" t="str">
        <f>"4/2015-MUP-198"</f>
        <v>4/2015-MUP-198</v>
      </c>
      <c r="D507" s="56">
        <v>42480</v>
      </c>
      <c r="E507" s="56">
        <v>42845</v>
      </c>
      <c r="F507" s="8">
        <v>368.75</v>
      </c>
      <c r="G507" s="8">
        <v>368.75</v>
      </c>
      <c r="H507" s="56">
        <v>42916</v>
      </c>
      <c r="I507" s="24">
        <v>368.75</v>
      </c>
      <c r="J507" s="77"/>
    </row>
    <row r="508" spans="1:11" ht="24" x14ac:dyDescent="0.25">
      <c r="A508" s="115">
        <v>492</v>
      </c>
      <c r="B508" s="60" t="s">
        <v>195</v>
      </c>
      <c r="C508" s="10" t="str">
        <f>"4/2015-MUP-197"</f>
        <v>4/2015-MUP-197</v>
      </c>
      <c r="D508" s="56">
        <v>42479</v>
      </c>
      <c r="E508" s="56">
        <v>42844</v>
      </c>
      <c r="F508" s="8">
        <v>1685.49</v>
      </c>
      <c r="G508" s="8">
        <v>1685.49</v>
      </c>
      <c r="H508" s="56">
        <v>42916</v>
      </c>
      <c r="I508" s="24">
        <v>1685.49</v>
      </c>
      <c r="J508" s="77"/>
      <c r="K508" s="48"/>
    </row>
    <row r="509" spans="1:11" ht="24" x14ac:dyDescent="0.25">
      <c r="A509" s="115">
        <v>493</v>
      </c>
      <c r="B509" s="60" t="s">
        <v>195</v>
      </c>
      <c r="C509" s="10" t="str">
        <f>"4/2015-MUP-196"</f>
        <v>4/2015-MUP-196</v>
      </c>
      <c r="D509" s="56">
        <v>42478</v>
      </c>
      <c r="E509" s="56">
        <v>42843</v>
      </c>
      <c r="F509" s="8">
        <v>4392.2299999999996</v>
      </c>
      <c r="G509" s="8">
        <v>4392.2299999999996</v>
      </c>
      <c r="H509" s="56">
        <v>42916</v>
      </c>
      <c r="I509" s="24">
        <v>4392.2299999999996</v>
      </c>
      <c r="J509" s="77"/>
    </row>
    <row r="510" spans="1:11" x14ac:dyDescent="0.25">
      <c r="A510" s="115">
        <v>494</v>
      </c>
      <c r="B510" s="60" t="s">
        <v>186</v>
      </c>
      <c r="C510" s="10" t="str">
        <f>"004700000204"</f>
        <v>004700000204</v>
      </c>
      <c r="D510" s="56">
        <v>42477</v>
      </c>
      <c r="E510" s="56">
        <v>42842</v>
      </c>
      <c r="F510" s="8">
        <v>2403.88</v>
      </c>
      <c r="G510" s="8">
        <v>2644.27</v>
      </c>
      <c r="H510" s="56">
        <v>42551</v>
      </c>
      <c r="I510" s="24">
        <v>2403.88</v>
      </c>
      <c r="J510" s="77"/>
    </row>
    <row r="511" spans="1:11" x14ac:dyDescent="0.25">
      <c r="A511" s="115">
        <v>495</v>
      </c>
      <c r="B511" s="60" t="s">
        <v>186</v>
      </c>
      <c r="C511" s="10" t="str">
        <f>"004700000209"</f>
        <v>004700000209</v>
      </c>
      <c r="D511" s="56">
        <v>42477</v>
      </c>
      <c r="E511" s="56">
        <v>42842</v>
      </c>
      <c r="F511" s="8">
        <v>3727.57</v>
      </c>
      <c r="G511" s="8">
        <v>4100.33</v>
      </c>
      <c r="H511" s="56">
        <v>42551</v>
      </c>
      <c r="I511" s="24">
        <v>3727.57</v>
      </c>
      <c r="J511" s="77"/>
      <c r="K511" s="48"/>
    </row>
    <row r="512" spans="1:11" x14ac:dyDescent="0.25">
      <c r="A512" s="115">
        <v>496</v>
      </c>
      <c r="B512" s="60" t="s">
        <v>186</v>
      </c>
      <c r="C512" s="10" t="str">
        <f>"004700000207"</f>
        <v>004700000207</v>
      </c>
      <c r="D512" s="56">
        <v>42477</v>
      </c>
      <c r="E512" s="56">
        <v>42842</v>
      </c>
      <c r="F512" s="8">
        <v>3727.57</v>
      </c>
      <c r="G512" s="8">
        <v>4100.33</v>
      </c>
      <c r="H512" s="56">
        <v>42551</v>
      </c>
      <c r="I512" s="24">
        <v>3727.57</v>
      </c>
      <c r="J512" s="77"/>
    </row>
    <row r="513" spans="1:11" x14ac:dyDescent="0.25">
      <c r="A513" s="115">
        <v>497</v>
      </c>
      <c r="B513" s="60" t="s">
        <v>186</v>
      </c>
      <c r="C513" s="10" t="str">
        <f>"004700000205"</f>
        <v>004700000205</v>
      </c>
      <c r="D513" s="56">
        <v>42477</v>
      </c>
      <c r="E513" s="56">
        <v>42842</v>
      </c>
      <c r="F513" s="8">
        <v>4560.3999999999996</v>
      </c>
      <c r="G513" s="8">
        <v>5016.4399999999996</v>
      </c>
      <c r="H513" s="56">
        <v>42551</v>
      </c>
      <c r="I513" s="24">
        <v>4560.3999999999996</v>
      </c>
      <c r="J513" s="77"/>
    </row>
    <row r="514" spans="1:11" x14ac:dyDescent="0.25">
      <c r="A514" s="115">
        <v>498</v>
      </c>
      <c r="B514" s="60" t="s">
        <v>186</v>
      </c>
      <c r="C514" s="10" t="str">
        <f>"004700000201"</f>
        <v>004700000201</v>
      </c>
      <c r="D514" s="56">
        <v>42477</v>
      </c>
      <c r="E514" s="56">
        <v>42842</v>
      </c>
      <c r="F514" s="8">
        <v>2403.88</v>
      </c>
      <c r="G514" s="8">
        <v>2644.27</v>
      </c>
      <c r="H514" s="56">
        <v>42551</v>
      </c>
      <c r="I514" s="24">
        <v>2403.88</v>
      </c>
      <c r="J514" s="77"/>
      <c r="K514" s="48"/>
    </row>
    <row r="515" spans="1:11" ht="24" x14ac:dyDescent="0.25">
      <c r="A515" s="115">
        <v>499</v>
      </c>
      <c r="B515" s="60" t="s">
        <v>195</v>
      </c>
      <c r="C515" s="10" t="str">
        <f>"4/2015-MUP-195"</f>
        <v>4/2015-MUP-195</v>
      </c>
      <c r="D515" s="56">
        <v>42476</v>
      </c>
      <c r="E515" s="56">
        <v>42841</v>
      </c>
      <c r="F515" s="8">
        <v>998</v>
      </c>
      <c r="G515" s="8">
        <v>998</v>
      </c>
      <c r="H515" s="56">
        <v>42916</v>
      </c>
      <c r="I515" s="24">
        <v>998</v>
      </c>
      <c r="J515" s="77"/>
    </row>
    <row r="516" spans="1:11" x14ac:dyDescent="0.25">
      <c r="A516" s="115">
        <v>500</v>
      </c>
      <c r="B516" s="60" t="s">
        <v>186</v>
      </c>
      <c r="C516" s="10" t="str">
        <f>"017000018208"</f>
        <v>017000018208</v>
      </c>
      <c r="D516" s="56">
        <v>42475</v>
      </c>
      <c r="E516" s="56">
        <v>42840</v>
      </c>
      <c r="F516" s="8">
        <v>339.68</v>
      </c>
      <c r="G516" s="8">
        <v>390.63</v>
      </c>
      <c r="H516" s="56">
        <v>42551</v>
      </c>
      <c r="I516" s="24">
        <v>339.68</v>
      </c>
      <c r="J516" s="77"/>
    </row>
    <row r="517" spans="1:11" x14ac:dyDescent="0.25">
      <c r="A517" s="115">
        <v>501</v>
      </c>
      <c r="B517" s="60" t="s">
        <v>186</v>
      </c>
      <c r="C517" s="10" t="str">
        <f>"017000018259"</f>
        <v>017000018259</v>
      </c>
      <c r="D517" s="56">
        <v>42475</v>
      </c>
      <c r="E517" s="56">
        <v>42840</v>
      </c>
      <c r="F517" s="8">
        <v>417.16</v>
      </c>
      <c r="G517" s="8">
        <v>479.73</v>
      </c>
      <c r="H517" s="56">
        <v>42551</v>
      </c>
      <c r="I517" s="24">
        <v>417.16</v>
      </c>
      <c r="J517" s="77"/>
      <c r="K517" s="48"/>
    </row>
    <row r="518" spans="1:11" x14ac:dyDescent="0.25">
      <c r="A518" s="115">
        <v>502</v>
      </c>
      <c r="B518" s="60" t="s">
        <v>186</v>
      </c>
      <c r="C518" s="10" t="str">
        <f>"017000018240"</f>
        <v>017000018240</v>
      </c>
      <c r="D518" s="56">
        <v>42475</v>
      </c>
      <c r="E518" s="56">
        <v>42840</v>
      </c>
      <c r="F518" s="8">
        <v>420.75</v>
      </c>
      <c r="G518" s="8">
        <v>483.86</v>
      </c>
      <c r="H518" s="56">
        <v>42551</v>
      </c>
      <c r="I518" s="24">
        <v>420.75</v>
      </c>
      <c r="J518" s="77"/>
    </row>
    <row r="519" spans="1:11" ht="24" x14ac:dyDescent="0.25">
      <c r="A519" s="115">
        <v>503</v>
      </c>
      <c r="B519" s="60" t="s">
        <v>195</v>
      </c>
      <c r="C519" s="10" t="str">
        <f>"4/2015-MUP-194"</f>
        <v>4/2015-MUP-194</v>
      </c>
      <c r="D519" s="56">
        <v>42475</v>
      </c>
      <c r="E519" s="56">
        <v>42840</v>
      </c>
      <c r="F519" s="8">
        <v>18466.27</v>
      </c>
      <c r="G519" s="8">
        <v>18466.27</v>
      </c>
      <c r="H519" s="56">
        <v>42916</v>
      </c>
      <c r="I519" s="24">
        <v>18466.27</v>
      </c>
      <c r="J519" s="77"/>
    </row>
    <row r="520" spans="1:11" x14ac:dyDescent="0.25">
      <c r="A520" s="115">
        <v>504</v>
      </c>
      <c r="B520" s="60" t="s">
        <v>186</v>
      </c>
      <c r="C520" s="10" t="str">
        <f>"017000018216"</f>
        <v>017000018216</v>
      </c>
      <c r="D520" s="56">
        <v>42475</v>
      </c>
      <c r="E520" s="56">
        <v>42840</v>
      </c>
      <c r="F520" s="8">
        <v>417.16</v>
      </c>
      <c r="G520" s="8">
        <v>479.73</v>
      </c>
      <c r="H520" s="56">
        <v>42551</v>
      </c>
      <c r="I520" s="24">
        <v>417.16</v>
      </c>
      <c r="J520" s="77"/>
      <c r="K520" s="48"/>
    </row>
    <row r="521" spans="1:11" x14ac:dyDescent="0.25">
      <c r="A521" s="115">
        <v>505</v>
      </c>
      <c r="B521" s="60" t="s">
        <v>186</v>
      </c>
      <c r="C521" s="10" t="str">
        <f>"017000018232"</f>
        <v>017000018232</v>
      </c>
      <c r="D521" s="56">
        <v>42475</v>
      </c>
      <c r="E521" s="56">
        <v>42840</v>
      </c>
      <c r="F521" s="8">
        <v>308.55</v>
      </c>
      <c r="G521" s="8">
        <v>354.83</v>
      </c>
      <c r="H521" s="56">
        <v>42551</v>
      </c>
      <c r="I521" s="24">
        <v>308.55</v>
      </c>
      <c r="J521" s="77"/>
    </row>
    <row r="522" spans="1:11" ht="24" x14ac:dyDescent="0.25">
      <c r="A522" s="115">
        <v>506</v>
      </c>
      <c r="B522" s="60" t="s">
        <v>195</v>
      </c>
      <c r="C522" s="10" t="str">
        <f>"4/2015-MUP-192"</f>
        <v>4/2015-MUP-192</v>
      </c>
      <c r="D522" s="56">
        <v>42473</v>
      </c>
      <c r="E522" s="56">
        <v>42838</v>
      </c>
      <c r="F522" s="8">
        <v>2769.98</v>
      </c>
      <c r="G522" s="8">
        <v>2769.98</v>
      </c>
      <c r="H522" s="56">
        <v>42916</v>
      </c>
      <c r="I522" s="24">
        <v>2769.98</v>
      </c>
      <c r="J522" s="77"/>
    </row>
    <row r="523" spans="1:11" ht="24" x14ac:dyDescent="0.25">
      <c r="A523" s="115">
        <v>507</v>
      </c>
      <c r="B523" s="60" t="s">
        <v>195</v>
      </c>
      <c r="C523" s="10" t="str">
        <f>"4/2015-MUP-191"</f>
        <v>4/2015-MUP-191</v>
      </c>
      <c r="D523" s="56">
        <v>42472</v>
      </c>
      <c r="E523" s="56">
        <v>42837</v>
      </c>
      <c r="F523" s="8">
        <v>7848.48</v>
      </c>
      <c r="G523" s="8">
        <v>7848.48</v>
      </c>
      <c r="H523" s="56">
        <v>42916</v>
      </c>
      <c r="I523" s="24">
        <v>7848.48</v>
      </c>
      <c r="J523" s="77"/>
      <c r="K523" s="48"/>
    </row>
    <row r="524" spans="1:11" ht="24" x14ac:dyDescent="0.25">
      <c r="A524" s="115">
        <v>508</v>
      </c>
      <c r="B524" s="60" t="s">
        <v>195</v>
      </c>
      <c r="C524" s="10" t="str">
        <f>"4/2015-MUP-190"</f>
        <v>4/2015-MUP-190</v>
      </c>
      <c r="D524" s="56">
        <v>42471</v>
      </c>
      <c r="E524" s="56">
        <v>42836</v>
      </c>
      <c r="F524" s="8">
        <v>534.80999999999995</v>
      </c>
      <c r="G524" s="8">
        <v>534.80999999999995</v>
      </c>
      <c r="H524" s="56">
        <v>42916</v>
      </c>
      <c r="I524" s="24">
        <v>534.80999999999995</v>
      </c>
      <c r="J524" s="77"/>
    </row>
    <row r="525" spans="1:11" x14ac:dyDescent="0.25">
      <c r="A525" s="115">
        <v>509</v>
      </c>
      <c r="B525" s="60" t="s">
        <v>186</v>
      </c>
      <c r="C525" s="10" t="str">
        <f>"017000020865"</f>
        <v>017000020865</v>
      </c>
      <c r="D525" s="56">
        <v>42471</v>
      </c>
      <c r="E525" s="56">
        <v>42836</v>
      </c>
      <c r="F525" s="8">
        <v>372.62</v>
      </c>
      <c r="G525" s="8">
        <v>428.51</v>
      </c>
      <c r="H525" s="56">
        <v>42551</v>
      </c>
      <c r="I525" s="24">
        <v>372.62</v>
      </c>
      <c r="J525" s="77"/>
    </row>
    <row r="526" spans="1:11" ht="24" x14ac:dyDescent="0.25">
      <c r="A526" s="115">
        <v>510</v>
      </c>
      <c r="B526" s="60" t="s">
        <v>210</v>
      </c>
      <c r="C526" s="10" t="str">
        <f>"4/2015-MFINPU-21"</f>
        <v>4/2015-MFINPU-21</v>
      </c>
      <c r="D526" s="56">
        <v>42470</v>
      </c>
      <c r="E526" s="56">
        <v>42835</v>
      </c>
      <c r="F526" s="8">
        <v>163.69</v>
      </c>
      <c r="G526" s="8">
        <v>163.69</v>
      </c>
      <c r="H526" s="56">
        <v>42835</v>
      </c>
      <c r="I526" s="24">
        <v>163.69</v>
      </c>
      <c r="J526" s="77"/>
      <c r="K526" s="48"/>
    </row>
    <row r="527" spans="1:11" x14ac:dyDescent="0.25">
      <c r="A527" s="115">
        <v>511</v>
      </c>
      <c r="B527" s="60" t="s">
        <v>186</v>
      </c>
      <c r="C527" s="10" t="str">
        <f>"017000010916"</f>
        <v>017000010916</v>
      </c>
      <c r="D527" s="56">
        <v>42470</v>
      </c>
      <c r="E527" s="56">
        <v>42835</v>
      </c>
      <c r="F527" s="8">
        <v>222.76</v>
      </c>
      <c r="G527" s="8">
        <v>256.17</v>
      </c>
      <c r="H527" s="56">
        <v>42551</v>
      </c>
      <c r="I527" s="24">
        <v>222.76</v>
      </c>
      <c r="J527" s="77"/>
    </row>
    <row r="528" spans="1:11" ht="24" x14ac:dyDescent="0.25">
      <c r="A528" s="115">
        <v>512</v>
      </c>
      <c r="B528" s="60" t="s">
        <v>195</v>
      </c>
      <c r="C528" s="10" t="str">
        <f>"4/2015-MUP-189"</f>
        <v>4/2015-MUP-189</v>
      </c>
      <c r="D528" s="56">
        <v>42470</v>
      </c>
      <c r="E528" s="56">
        <v>42835</v>
      </c>
      <c r="F528" s="8">
        <v>355.5</v>
      </c>
      <c r="G528" s="8">
        <v>355.5</v>
      </c>
      <c r="H528" s="56">
        <v>42916</v>
      </c>
      <c r="I528" s="24">
        <v>355.5</v>
      </c>
      <c r="J528" s="77"/>
    </row>
    <row r="529" spans="1:11" ht="24" x14ac:dyDescent="0.25">
      <c r="A529" s="115">
        <v>513</v>
      </c>
      <c r="B529" s="60" t="s">
        <v>195</v>
      </c>
      <c r="C529" s="10" t="str">
        <f>"4/2015-MUP-188"</f>
        <v>4/2015-MUP-188</v>
      </c>
      <c r="D529" s="56">
        <v>42469</v>
      </c>
      <c r="E529" s="56">
        <v>42834</v>
      </c>
      <c r="F529" s="8">
        <v>42563.55</v>
      </c>
      <c r="G529" s="8">
        <v>42563.55</v>
      </c>
      <c r="H529" s="56">
        <v>42916</v>
      </c>
      <c r="I529" s="24">
        <v>42563.55</v>
      </c>
      <c r="J529" s="77"/>
      <c r="K529" s="48"/>
    </row>
    <row r="530" spans="1:11" ht="24" x14ac:dyDescent="0.25">
      <c r="A530" s="115">
        <v>514</v>
      </c>
      <c r="B530" s="60" t="s">
        <v>210</v>
      </c>
      <c r="C530" s="10" t="str">
        <f>"4/2015-MFINPU-14"</f>
        <v>4/2015-MFINPU-14</v>
      </c>
      <c r="D530" s="56">
        <v>42469</v>
      </c>
      <c r="E530" s="56">
        <v>42834</v>
      </c>
      <c r="F530" s="8">
        <v>157019.19</v>
      </c>
      <c r="G530" s="8">
        <v>157019.19</v>
      </c>
      <c r="H530" s="56">
        <v>42834</v>
      </c>
      <c r="I530" s="24">
        <v>157019.19</v>
      </c>
      <c r="J530" s="77"/>
    </row>
    <row r="531" spans="1:11" ht="24" x14ac:dyDescent="0.25">
      <c r="A531" s="115">
        <v>515</v>
      </c>
      <c r="B531" s="60" t="s">
        <v>195</v>
      </c>
      <c r="C531" s="10" t="str">
        <f>"4/2015-MUP-187"</f>
        <v>4/2015-MUP-187</v>
      </c>
      <c r="D531" s="56">
        <v>42468</v>
      </c>
      <c r="E531" s="56">
        <v>42833</v>
      </c>
      <c r="F531" s="8">
        <v>4542.1000000000004</v>
      </c>
      <c r="G531" s="8">
        <v>4542.1000000000004</v>
      </c>
      <c r="H531" s="56">
        <v>42916</v>
      </c>
      <c r="I531" s="24">
        <v>4542.1000000000004</v>
      </c>
      <c r="J531" s="77"/>
    </row>
    <row r="532" spans="1:11" x14ac:dyDescent="0.25">
      <c r="A532" s="115">
        <v>516</v>
      </c>
      <c r="B532" s="60" t="s">
        <v>204</v>
      </c>
      <c r="C532" s="10" t="str">
        <f>"017000016264"</f>
        <v>017000016264</v>
      </c>
      <c r="D532" s="56">
        <v>42439</v>
      </c>
      <c r="E532" s="56">
        <v>42832</v>
      </c>
      <c r="F532" s="8">
        <v>366.86</v>
      </c>
      <c r="G532" s="8">
        <v>366.86</v>
      </c>
      <c r="H532" s="56">
        <v>42832</v>
      </c>
      <c r="I532" s="24">
        <v>366.86</v>
      </c>
      <c r="J532" s="77"/>
      <c r="K532" s="48"/>
    </row>
    <row r="533" spans="1:11" ht="24" x14ac:dyDescent="0.25">
      <c r="A533" s="115">
        <v>517</v>
      </c>
      <c r="B533" s="60" t="s">
        <v>195</v>
      </c>
      <c r="C533" s="10" t="str">
        <f>"4/2015-MUP-186"</f>
        <v>4/2015-MUP-186</v>
      </c>
      <c r="D533" s="56">
        <v>42467</v>
      </c>
      <c r="E533" s="56">
        <v>42832</v>
      </c>
      <c r="F533" s="8">
        <v>322.58</v>
      </c>
      <c r="G533" s="8">
        <v>322.58</v>
      </c>
      <c r="H533" s="56">
        <v>42916</v>
      </c>
      <c r="I533" s="24">
        <v>322.58</v>
      </c>
      <c r="J533" s="77"/>
    </row>
    <row r="534" spans="1:11" ht="24" x14ac:dyDescent="0.25">
      <c r="A534" s="115">
        <v>518</v>
      </c>
      <c r="B534" s="60" t="s">
        <v>195</v>
      </c>
      <c r="C534" s="10" t="str">
        <f>"4/2015-MUP-185"</f>
        <v>4/2015-MUP-185</v>
      </c>
      <c r="D534" s="56">
        <v>42466</v>
      </c>
      <c r="E534" s="56">
        <v>42831</v>
      </c>
      <c r="F534" s="8">
        <v>166.82</v>
      </c>
      <c r="G534" s="8">
        <v>166.82</v>
      </c>
      <c r="H534" s="56">
        <v>42916</v>
      </c>
      <c r="I534" s="24">
        <v>166.82</v>
      </c>
      <c r="J534" s="77"/>
    </row>
    <row r="535" spans="1:11" ht="24" x14ac:dyDescent="0.25">
      <c r="A535" s="115">
        <v>519</v>
      </c>
      <c r="B535" s="60" t="s">
        <v>195</v>
      </c>
      <c r="C535" s="10" t="str">
        <f>"4/2015-MUP-184"</f>
        <v>4/2015-MUP-184</v>
      </c>
      <c r="D535" s="56">
        <v>42465</v>
      </c>
      <c r="E535" s="56">
        <v>42830</v>
      </c>
      <c r="F535" s="8">
        <v>233.15</v>
      </c>
      <c r="G535" s="8">
        <v>233.15</v>
      </c>
      <c r="H535" s="56">
        <v>42916</v>
      </c>
      <c r="I535" s="24">
        <v>233.15</v>
      </c>
      <c r="J535" s="77"/>
      <c r="K535" s="48"/>
    </row>
    <row r="536" spans="1:11" x14ac:dyDescent="0.25">
      <c r="A536" s="115">
        <v>520</v>
      </c>
      <c r="B536" s="60" t="s">
        <v>204</v>
      </c>
      <c r="C536" s="10" t="str">
        <f>"004700000070"</f>
        <v>004700000070</v>
      </c>
      <c r="D536" s="56">
        <v>42459</v>
      </c>
      <c r="E536" s="56">
        <v>42830</v>
      </c>
      <c r="F536" s="8">
        <v>2528.14</v>
      </c>
      <c r="G536" s="8">
        <v>2528.14</v>
      </c>
      <c r="H536" s="56">
        <v>42830</v>
      </c>
      <c r="I536" s="24">
        <v>2528.14</v>
      </c>
      <c r="J536" s="77"/>
    </row>
    <row r="537" spans="1:11" ht="24" x14ac:dyDescent="0.25">
      <c r="A537" s="115">
        <v>521</v>
      </c>
      <c r="B537" s="60" t="s">
        <v>195</v>
      </c>
      <c r="C537" s="10" t="str">
        <f>"4/2015-MUP-183"</f>
        <v>4/2015-MUP-183</v>
      </c>
      <c r="D537" s="56">
        <v>42464</v>
      </c>
      <c r="E537" s="56">
        <v>42829</v>
      </c>
      <c r="F537" s="8">
        <v>1055.76</v>
      </c>
      <c r="G537" s="8">
        <v>1055.76</v>
      </c>
      <c r="H537" s="56">
        <v>42916</v>
      </c>
      <c r="I537" s="24">
        <v>1055.76</v>
      </c>
      <c r="J537" s="77"/>
    </row>
    <row r="538" spans="1:11" ht="24" x14ac:dyDescent="0.25">
      <c r="A538" s="115">
        <v>522</v>
      </c>
      <c r="B538" s="60" t="s">
        <v>195</v>
      </c>
      <c r="C538" s="10" t="str">
        <f>"4/2015-MUP-182"</f>
        <v>4/2015-MUP-182</v>
      </c>
      <c r="D538" s="56">
        <v>42463</v>
      </c>
      <c r="E538" s="56">
        <v>42828</v>
      </c>
      <c r="F538" s="8">
        <v>8065.98</v>
      </c>
      <c r="G538" s="8">
        <v>8065.98</v>
      </c>
      <c r="H538" s="56">
        <v>42916</v>
      </c>
      <c r="I538" s="24">
        <v>8065.98</v>
      </c>
      <c r="J538" s="77"/>
      <c r="K538" s="48"/>
    </row>
    <row r="539" spans="1:11" ht="24" x14ac:dyDescent="0.25">
      <c r="A539" s="115">
        <v>523</v>
      </c>
      <c r="B539" s="60" t="s">
        <v>17</v>
      </c>
      <c r="C539" s="10" t="str">
        <f>"POL 17000017945"</f>
        <v>POL 17000017945</v>
      </c>
      <c r="D539" s="56">
        <v>42463</v>
      </c>
      <c r="E539" s="56">
        <v>42828</v>
      </c>
      <c r="F539" s="8">
        <v>577.46</v>
      </c>
      <c r="G539" s="8">
        <v>664.08</v>
      </c>
      <c r="H539" s="56">
        <v>42825</v>
      </c>
      <c r="I539" s="24">
        <v>577.46</v>
      </c>
      <c r="J539" s="77"/>
    </row>
    <row r="540" spans="1:11" ht="24" x14ac:dyDescent="0.25">
      <c r="A540" s="115">
        <v>524</v>
      </c>
      <c r="B540" s="60" t="s">
        <v>195</v>
      </c>
      <c r="C540" s="10" t="str">
        <f>"4/2015-MUP-208"</f>
        <v>4/2015-MUP-208</v>
      </c>
      <c r="D540" s="56">
        <v>42463</v>
      </c>
      <c r="E540" s="56">
        <v>42828</v>
      </c>
      <c r="F540" s="8">
        <v>992.8</v>
      </c>
      <c r="G540" s="8">
        <v>992.8</v>
      </c>
      <c r="H540" s="56">
        <v>42916</v>
      </c>
      <c r="I540" s="24">
        <v>992.8</v>
      </c>
      <c r="J540" s="77"/>
    </row>
    <row r="541" spans="1:11" ht="24" x14ac:dyDescent="0.25">
      <c r="A541" s="115">
        <v>525</v>
      </c>
      <c r="B541" s="60" t="s">
        <v>195</v>
      </c>
      <c r="C541" s="10" t="str">
        <f>"4/2015-MUP-181"</f>
        <v>4/2015-MUP-181</v>
      </c>
      <c r="D541" s="56">
        <v>42462</v>
      </c>
      <c r="E541" s="56">
        <v>42827</v>
      </c>
      <c r="F541" s="8">
        <v>7426.5</v>
      </c>
      <c r="G541" s="8">
        <v>7426.5</v>
      </c>
      <c r="H541" s="56">
        <v>42916</v>
      </c>
      <c r="I541" s="24">
        <v>7426.5</v>
      </c>
      <c r="J541" s="77"/>
      <c r="K541" s="48"/>
    </row>
    <row r="542" spans="1:11" ht="24" x14ac:dyDescent="0.25">
      <c r="A542" s="115">
        <v>526</v>
      </c>
      <c r="B542" s="60" t="s">
        <v>17</v>
      </c>
      <c r="C542" s="10" t="str">
        <f>"POL 17000018097"</f>
        <v>POL 17000018097</v>
      </c>
      <c r="D542" s="56">
        <v>42461</v>
      </c>
      <c r="E542" s="56">
        <v>42826</v>
      </c>
      <c r="F542" s="8">
        <v>362.88</v>
      </c>
      <c r="G542" s="8">
        <v>417.31</v>
      </c>
      <c r="H542" s="56">
        <v>42825</v>
      </c>
      <c r="I542" s="24">
        <v>362.88</v>
      </c>
      <c r="J542" s="77"/>
    </row>
    <row r="543" spans="1:11" ht="24" x14ac:dyDescent="0.25">
      <c r="A543" s="115">
        <v>527</v>
      </c>
      <c r="B543" s="60" t="s">
        <v>17</v>
      </c>
      <c r="C543" s="10" t="str">
        <f>"POL17000018143"</f>
        <v>POL17000018143</v>
      </c>
      <c r="D543" s="56">
        <v>42461</v>
      </c>
      <c r="E543" s="56">
        <v>42826</v>
      </c>
      <c r="F543" s="8">
        <v>362.88</v>
      </c>
      <c r="G543" s="8">
        <v>417.31</v>
      </c>
      <c r="H543" s="56">
        <v>42825</v>
      </c>
      <c r="I543" s="24">
        <v>362.88</v>
      </c>
      <c r="J543" s="77"/>
    </row>
    <row r="544" spans="1:11" ht="24" x14ac:dyDescent="0.25">
      <c r="A544" s="115">
        <v>528</v>
      </c>
      <c r="B544" s="60" t="s">
        <v>17</v>
      </c>
      <c r="C544" s="10" t="str">
        <f>"POL 17000018135"</f>
        <v>POL 17000018135</v>
      </c>
      <c r="D544" s="56">
        <v>42461</v>
      </c>
      <c r="E544" s="56">
        <v>42826</v>
      </c>
      <c r="F544" s="8">
        <v>362.88</v>
      </c>
      <c r="G544" s="8">
        <v>417.31</v>
      </c>
      <c r="H544" s="56">
        <v>42826</v>
      </c>
      <c r="I544" s="24">
        <v>362.88</v>
      </c>
      <c r="J544" s="77"/>
      <c r="K544" s="48"/>
    </row>
    <row r="545" spans="1:11" ht="24" x14ac:dyDescent="0.25">
      <c r="A545" s="115">
        <v>529</v>
      </c>
      <c r="B545" s="60" t="s">
        <v>17</v>
      </c>
      <c r="C545" s="10" t="str">
        <f>"POL 17000016752"</f>
        <v>POL 17000016752</v>
      </c>
      <c r="D545" s="56">
        <v>42461</v>
      </c>
      <c r="E545" s="56">
        <v>42826</v>
      </c>
      <c r="F545" s="8">
        <v>362.88</v>
      </c>
      <c r="G545" s="8">
        <v>417.31</v>
      </c>
      <c r="H545" s="56">
        <v>42826</v>
      </c>
      <c r="I545" s="24">
        <v>362.88</v>
      </c>
      <c r="J545" s="77"/>
    </row>
    <row r="546" spans="1:11" ht="24" x14ac:dyDescent="0.25">
      <c r="A546" s="115">
        <v>530</v>
      </c>
      <c r="B546" s="60" t="s">
        <v>17</v>
      </c>
      <c r="C546" s="10" t="str">
        <f>"POL 17000018127"</f>
        <v>POL 17000018127</v>
      </c>
      <c r="D546" s="56">
        <v>42461</v>
      </c>
      <c r="E546" s="56">
        <v>42826</v>
      </c>
      <c r="F546" s="8">
        <v>362.88</v>
      </c>
      <c r="G546" s="8">
        <v>417.31</v>
      </c>
      <c r="H546" s="56">
        <v>42826</v>
      </c>
      <c r="I546" s="24">
        <v>362.88</v>
      </c>
      <c r="J546" s="77"/>
    </row>
    <row r="547" spans="1:11" ht="24" x14ac:dyDescent="0.25">
      <c r="A547" s="115">
        <v>531</v>
      </c>
      <c r="B547" s="60" t="s">
        <v>17</v>
      </c>
      <c r="C547" s="10" t="str">
        <f>"POL 17000018119"</f>
        <v>POL 17000018119</v>
      </c>
      <c r="D547" s="56">
        <v>42461</v>
      </c>
      <c r="E547" s="56">
        <v>42826</v>
      </c>
      <c r="F547" s="8">
        <v>362.88</v>
      </c>
      <c r="G547" s="8">
        <v>417.31</v>
      </c>
      <c r="H547" s="56">
        <v>42826</v>
      </c>
      <c r="I547" s="24">
        <v>362.88</v>
      </c>
      <c r="J547" s="77"/>
      <c r="K547" s="48"/>
    </row>
    <row r="548" spans="1:11" ht="24" x14ac:dyDescent="0.25">
      <c r="A548" s="115">
        <v>532</v>
      </c>
      <c r="B548" s="60" t="s">
        <v>17</v>
      </c>
      <c r="C548" s="10" t="str">
        <f>"POL 17000018100"</f>
        <v>POL 17000018100</v>
      </c>
      <c r="D548" s="56">
        <v>42461</v>
      </c>
      <c r="E548" s="56">
        <v>42826</v>
      </c>
      <c r="F548" s="8">
        <v>362.88</v>
      </c>
      <c r="G548" s="8">
        <v>417.31</v>
      </c>
      <c r="H548" s="56">
        <v>42826</v>
      </c>
      <c r="I548" s="24">
        <v>362.88</v>
      </c>
      <c r="J548" s="77"/>
    </row>
    <row r="549" spans="1:11" ht="24" x14ac:dyDescent="0.25">
      <c r="A549" s="115">
        <v>533</v>
      </c>
      <c r="B549" s="60" t="s">
        <v>17</v>
      </c>
      <c r="C549" s="10" t="str">
        <f>"POL 17000018070"</f>
        <v>POL 17000018070</v>
      </c>
      <c r="D549" s="56">
        <v>42461</v>
      </c>
      <c r="E549" s="56">
        <v>42826</v>
      </c>
      <c r="F549" s="8">
        <v>362.88</v>
      </c>
      <c r="G549" s="8">
        <v>417.31</v>
      </c>
      <c r="H549" s="56">
        <v>42826</v>
      </c>
      <c r="I549" s="24">
        <v>362.88</v>
      </c>
      <c r="J549" s="77"/>
    </row>
    <row r="550" spans="1:11" ht="24" x14ac:dyDescent="0.25">
      <c r="A550" s="115">
        <v>534</v>
      </c>
      <c r="B550" s="60" t="s">
        <v>17</v>
      </c>
      <c r="C550" s="10" t="str">
        <f>"POL 17000018062"</f>
        <v>POL 17000018062</v>
      </c>
      <c r="D550" s="56">
        <v>42461</v>
      </c>
      <c r="E550" s="56">
        <v>42826</v>
      </c>
      <c r="F550" s="8">
        <v>362.88</v>
      </c>
      <c r="G550" s="8">
        <v>417.31</v>
      </c>
      <c r="H550" s="56">
        <v>42826</v>
      </c>
      <c r="I550" s="24">
        <v>362.88</v>
      </c>
      <c r="J550" s="77"/>
      <c r="K550" s="48"/>
    </row>
    <row r="551" spans="1:11" ht="24" x14ac:dyDescent="0.25">
      <c r="A551" s="115">
        <v>535</v>
      </c>
      <c r="B551" s="60" t="s">
        <v>17</v>
      </c>
      <c r="C551" s="10" t="str">
        <f>"POL 17000018054"</f>
        <v>POL 17000018054</v>
      </c>
      <c r="D551" s="56">
        <v>42461</v>
      </c>
      <c r="E551" s="56">
        <v>42826</v>
      </c>
      <c r="F551" s="8">
        <v>362.88</v>
      </c>
      <c r="G551" s="8">
        <v>417.31</v>
      </c>
      <c r="H551" s="56">
        <v>42826</v>
      </c>
      <c r="I551" s="24">
        <v>362.88</v>
      </c>
      <c r="J551" s="77"/>
    </row>
    <row r="552" spans="1:11" ht="24" x14ac:dyDescent="0.25">
      <c r="A552" s="115">
        <v>536</v>
      </c>
      <c r="B552" s="60" t="s">
        <v>17</v>
      </c>
      <c r="C552" s="10" t="str">
        <f>"POL. 17000018046"</f>
        <v>POL. 17000018046</v>
      </c>
      <c r="D552" s="56">
        <v>42461</v>
      </c>
      <c r="E552" s="56">
        <v>42826</v>
      </c>
      <c r="F552" s="8">
        <v>362.88</v>
      </c>
      <c r="G552" s="8">
        <v>417.31</v>
      </c>
      <c r="H552" s="56">
        <v>42826</v>
      </c>
      <c r="I552" s="24">
        <v>362.88</v>
      </c>
      <c r="J552" s="77"/>
    </row>
    <row r="553" spans="1:11" ht="24" x14ac:dyDescent="0.25">
      <c r="A553" s="115">
        <v>537</v>
      </c>
      <c r="B553" s="60" t="s">
        <v>195</v>
      </c>
      <c r="C553" s="10" t="str">
        <f>"4/2015-MUP-180"</f>
        <v>4/2015-MUP-180</v>
      </c>
      <c r="D553" s="56">
        <v>42461</v>
      </c>
      <c r="E553" s="56">
        <v>42826</v>
      </c>
      <c r="F553" s="8">
        <v>173.79</v>
      </c>
      <c r="G553" s="8">
        <v>173.79</v>
      </c>
      <c r="H553" s="56">
        <v>42916</v>
      </c>
      <c r="I553" s="24">
        <v>173.79</v>
      </c>
      <c r="J553" s="77"/>
      <c r="K553" s="48"/>
    </row>
    <row r="554" spans="1:11" ht="24" x14ac:dyDescent="0.25">
      <c r="A554" s="115">
        <v>538</v>
      </c>
      <c r="B554" s="60" t="s">
        <v>17</v>
      </c>
      <c r="C554" s="10" t="str">
        <f>"POL 17000018089"</f>
        <v>POL 17000018089</v>
      </c>
      <c r="D554" s="56">
        <v>42461</v>
      </c>
      <c r="E554" s="56">
        <v>42826</v>
      </c>
      <c r="F554" s="8">
        <v>362.88</v>
      </c>
      <c r="G554" s="8">
        <v>417.31</v>
      </c>
      <c r="H554" s="56">
        <v>42826</v>
      </c>
      <c r="I554" s="24">
        <v>362.88</v>
      </c>
      <c r="J554" s="77"/>
    </row>
    <row r="555" spans="1:11" ht="24" x14ac:dyDescent="0.25">
      <c r="A555" s="115">
        <v>539</v>
      </c>
      <c r="B555" s="60" t="s">
        <v>195</v>
      </c>
      <c r="C555" s="10" t="str">
        <f>"4/2015-MUP-178"</f>
        <v>4/2015-MUP-178</v>
      </c>
      <c r="D555" s="56">
        <v>42460</v>
      </c>
      <c r="E555" s="56">
        <v>42825</v>
      </c>
      <c r="F555" s="8">
        <v>13545.11</v>
      </c>
      <c r="G555" s="8">
        <v>13545.11</v>
      </c>
      <c r="H555" s="56">
        <v>42916</v>
      </c>
      <c r="I555" s="24">
        <v>13545.11</v>
      </c>
      <c r="J555" s="77"/>
    </row>
    <row r="556" spans="1:11" x14ac:dyDescent="0.25">
      <c r="A556" s="115">
        <v>540</v>
      </c>
      <c r="B556" s="60" t="s">
        <v>186</v>
      </c>
      <c r="C556" s="10" t="str">
        <f>"017000018267"</f>
        <v>017000018267</v>
      </c>
      <c r="D556" s="56">
        <v>42460</v>
      </c>
      <c r="E556" s="56">
        <v>42825</v>
      </c>
      <c r="F556" s="8">
        <v>312.72000000000003</v>
      </c>
      <c r="G556" s="8">
        <v>359.63</v>
      </c>
      <c r="H556" s="56">
        <v>42551</v>
      </c>
      <c r="I556" s="24">
        <v>312.72000000000003</v>
      </c>
      <c r="J556" s="77"/>
      <c r="K556" s="48"/>
    </row>
    <row r="557" spans="1:11" x14ac:dyDescent="0.25">
      <c r="A557" s="115">
        <v>541</v>
      </c>
      <c r="B557" s="60" t="s">
        <v>186</v>
      </c>
      <c r="C557" s="10" t="str">
        <f>"017000018275"</f>
        <v>017000018275</v>
      </c>
      <c r="D557" s="56">
        <v>42460</v>
      </c>
      <c r="E557" s="56">
        <v>42825</v>
      </c>
      <c r="F557" s="8">
        <v>312.72000000000003</v>
      </c>
      <c r="G557" s="8">
        <v>359.63</v>
      </c>
      <c r="H557" s="56">
        <v>42551</v>
      </c>
      <c r="I557" s="24">
        <v>312.72000000000003</v>
      </c>
      <c r="J557" s="77"/>
    </row>
    <row r="558" spans="1:11" ht="24" x14ac:dyDescent="0.25">
      <c r="A558" s="115">
        <v>542</v>
      </c>
      <c r="B558" s="60" t="s">
        <v>195</v>
      </c>
      <c r="C558" s="10" t="str">
        <f>"4/2015-MUP 177"</f>
        <v>4/2015-MUP 177</v>
      </c>
      <c r="D558" s="56">
        <v>42459</v>
      </c>
      <c r="E558" s="56">
        <v>42824</v>
      </c>
      <c r="F558" s="8">
        <v>6309.39</v>
      </c>
      <c r="G558" s="8">
        <v>6309.39</v>
      </c>
      <c r="H558" s="56">
        <v>42916</v>
      </c>
      <c r="I558" s="24">
        <v>6309.39</v>
      </c>
      <c r="J558" s="77"/>
    </row>
    <row r="559" spans="1:11" ht="24" x14ac:dyDescent="0.25">
      <c r="A559" s="115">
        <v>543</v>
      </c>
      <c r="B559" s="60" t="s">
        <v>195</v>
      </c>
      <c r="C559" s="10" t="str">
        <f>"4/2015-MUP-176"</f>
        <v>4/2015-MUP-176</v>
      </c>
      <c r="D559" s="56">
        <v>42458</v>
      </c>
      <c r="E559" s="56">
        <v>42823</v>
      </c>
      <c r="F559" s="8">
        <v>540.91999999999996</v>
      </c>
      <c r="G559" s="8">
        <v>540.91999999999996</v>
      </c>
      <c r="H559" s="56">
        <v>42916</v>
      </c>
      <c r="I559" s="24">
        <v>540.91999999999996</v>
      </c>
      <c r="J559" s="77"/>
      <c r="K559" s="48"/>
    </row>
    <row r="560" spans="1:11" ht="24" x14ac:dyDescent="0.25">
      <c r="A560" s="115">
        <v>544</v>
      </c>
      <c r="B560" s="60" t="s">
        <v>195</v>
      </c>
      <c r="C560" s="10" t="str">
        <f>"4/2015-MUP-175"</f>
        <v>4/2015-MUP-175</v>
      </c>
      <c r="D560" s="56">
        <v>42457</v>
      </c>
      <c r="E560" s="56">
        <v>42822</v>
      </c>
      <c r="F560" s="8">
        <v>13689.81</v>
      </c>
      <c r="G560" s="8">
        <v>13689.81</v>
      </c>
      <c r="H560" s="56">
        <v>42916</v>
      </c>
      <c r="I560" s="24">
        <v>13689.81</v>
      </c>
      <c r="J560" s="77"/>
    </row>
    <row r="561" spans="1:11" ht="24" x14ac:dyDescent="0.25">
      <c r="A561" s="115">
        <v>545</v>
      </c>
      <c r="B561" s="60" t="s">
        <v>210</v>
      </c>
      <c r="C561" s="10" t="str">
        <f>"4/2015-MFINPU-28"</f>
        <v>4/2015-MFINPU-28</v>
      </c>
      <c r="D561" s="56">
        <v>42457</v>
      </c>
      <c r="E561" s="56">
        <v>42822</v>
      </c>
      <c r="F561" s="8">
        <v>167.29</v>
      </c>
      <c r="G561" s="8">
        <v>167.29</v>
      </c>
      <c r="H561" s="56">
        <v>42822</v>
      </c>
      <c r="I561" s="24">
        <v>167.29</v>
      </c>
      <c r="J561" s="77"/>
    </row>
    <row r="562" spans="1:11" ht="24" x14ac:dyDescent="0.25">
      <c r="A562" s="115">
        <v>546</v>
      </c>
      <c r="B562" s="60" t="s">
        <v>195</v>
      </c>
      <c r="C562" s="10" t="str">
        <f>"4/2015-MUP-174"</f>
        <v>4/2015-MUP-174</v>
      </c>
      <c r="D562" s="56">
        <v>42456</v>
      </c>
      <c r="E562" s="56">
        <v>42821</v>
      </c>
      <c r="F562" s="8">
        <v>2555.3200000000002</v>
      </c>
      <c r="G562" s="8">
        <v>2555.3200000000002</v>
      </c>
      <c r="H562" s="56">
        <v>42916</v>
      </c>
      <c r="I562" s="24">
        <v>2555.3200000000002</v>
      </c>
      <c r="J562" s="77"/>
      <c r="K562" s="48"/>
    </row>
    <row r="563" spans="1:11" ht="24" x14ac:dyDescent="0.25">
      <c r="A563" s="115">
        <v>547</v>
      </c>
      <c r="B563" s="60" t="s">
        <v>195</v>
      </c>
      <c r="C563" s="10" t="str">
        <f>"4/2015-MUP-179"</f>
        <v>4/2015-MUP-179</v>
      </c>
      <c r="D563" s="56">
        <v>42455</v>
      </c>
      <c r="E563" s="56">
        <v>42820</v>
      </c>
      <c r="F563" s="8">
        <v>564.4</v>
      </c>
      <c r="G563" s="8">
        <v>564.4</v>
      </c>
      <c r="H563" s="56">
        <v>42916</v>
      </c>
      <c r="I563" s="24">
        <v>564.4</v>
      </c>
      <c r="J563" s="77"/>
    </row>
    <row r="564" spans="1:11" ht="24" x14ac:dyDescent="0.25">
      <c r="A564" s="115">
        <v>548</v>
      </c>
      <c r="B564" s="60" t="s">
        <v>195</v>
      </c>
      <c r="C564" s="10" t="str">
        <f>"4/2015-MUP-173"</f>
        <v>4/2015-MUP-173</v>
      </c>
      <c r="D564" s="56">
        <v>42454</v>
      </c>
      <c r="E564" s="56">
        <v>42819</v>
      </c>
      <c r="F564" s="8">
        <v>8355.7800000000007</v>
      </c>
      <c r="G564" s="8">
        <v>8355.7800000000007</v>
      </c>
      <c r="H564" s="56">
        <v>42916</v>
      </c>
      <c r="I564" s="24">
        <v>8355.7800000000007</v>
      </c>
      <c r="J564" s="77"/>
    </row>
    <row r="565" spans="1:11" ht="24" x14ac:dyDescent="0.25">
      <c r="A565" s="115">
        <v>549</v>
      </c>
      <c r="B565" s="60" t="s">
        <v>195</v>
      </c>
      <c r="C565" s="10" t="str">
        <f>"4/2015-MUP-172"</f>
        <v>4/2015-MUP-172</v>
      </c>
      <c r="D565" s="56">
        <v>42453</v>
      </c>
      <c r="E565" s="56">
        <v>42818</v>
      </c>
      <c r="F565" s="8">
        <v>8284.01</v>
      </c>
      <c r="G565" s="8">
        <v>8284.01</v>
      </c>
      <c r="H565" s="56">
        <v>42916</v>
      </c>
      <c r="I565" s="24">
        <v>8284.01</v>
      </c>
      <c r="J565" s="77"/>
      <c r="K565" s="48"/>
    </row>
    <row r="566" spans="1:11" ht="24" x14ac:dyDescent="0.25">
      <c r="A566" s="115">
        <v>550</v>
      </c>
      <c r="B566" s="60" t="s">
        <v>195</v>
      </c>
      <c r="C566" s="10" t="str">
        <f>"4/2015-MUP-171"</f>
        <v>4/2015-MUP-171</v>
      </c>
      <c r="D566" s="56">
        <v>42452</v>
      </c>
      <c r="E566" s="56">
        <v>42817</v>
      </c>
      <c r="F566" s="8">
        <v>1363.84</v>
      </c>
      <c r="G566" s="8">
        <v>1363.84</v>
      </c>
      <c r="H566" s="56">
        <v>42916</v>
      </c>
      <c r="I566" s="24">
        <v>1363.84</v>
      </c>
      <c r="J566" s="77"/>
    </row>
    <row r="567" spans="1:11" ht="24" x14ac:dyDescent="0.25">
      <c r="A567" s="115">
        <v>551</v>
      </c>
      <c r="B567" s="60" t="s">
        <v>210</v>
      </c>
      <c r="C567" s="10" t="str">
        <f>"4/2015-MFINPU-32"</f>
        <v>4/2015-MFINPU-32</v>
      </c>
      <c r="D567" s="56">
        <v>42451</v>
      </c>
      <c r="E567" s="56">
        <v>42816</v>
      </c>
      <c r="F567" s="8">
        <v>147.87</v>
      </c>
      <c r="G567" s="8">
        <v>147.87</v>
      </c>
      <c r="H567" s="56">
        <v>42816</v>
      </c>
      <c r="I567" s="24">
        <v>147.87</v>
      </c>
      <c r="J567" s="77"/>
    </row>
    <row r="568" spans="1:11" ht="24" x14ac:dyDescent="0.25">
      <c r="A568" s="115">
        <v>552</v>
      </c>
      <c r="B568" s="60" t="s">
        <v>195</v>
      </c>
      <c r="C568" s="10" t="str">
        <f>"4/2015-MUP-170"</f>
        <v>4/2015-MUP-170</v>
      </c>
      <c r="D568" s="56">
        <v>42451</v>
      </c>
      <c r="E568" s="56">
        <v>42816</v>
      </c>
      <c r="F568" s="8">
        <v>1479.72</v>
      </c>
      <c r="G568" s="8">
        <v>1479.72</v>
      </c>
      <c r="H568" s="56">
        <v>42916</v>
      </c>
      <c r="I568" s="24">
        <v>1479.72</v>
      </c>
      <c r="J568" s="77"/>
      <c r="K568" s="48"/>
    </row>
    <row r="569" spans="1:11" ht="24" x14ac:dyDescent="0.25">
      <c r="A569" s="115">
        <v>553</v>
      </c>
      <c r="B569" s="60" t="s">
        <v>195</v>
      </c>
      <c r="C569" s="10" t="str">
        <f>"4/2015-MUP-169"</f>
        <v>4/2015-MUP-169</v>
      </c>
      <c r="D569" s="56">
        <v>42450</v>
      </c>
      <c r="E569" s="56">
        <v>42815</v>
      </c>
      <c r="F569" s="8">
        <v>16533.12</v>
      </c>
      <c r="G569" s="8">
        <v>16533.12</v>
      </c>
      <c r="H569" s="56">
        <v>42916</v>
      </c>
      <c r="I569" s="24">
        <v>16533.12</v>
      </c>
      <c r="J569" s="77"/>
    </row>
    <row r="570" spans="1:11" ht="24" x14ac:dyDescent="0.25">
      <c r="A570" s="115">
        <v>554</v>
      </c>
      <c r="B570" s="60" t="s">
        <v>195</v>
      </c>
      <c r="C570" s="10" t="str">
        <f>"4/2015-MUP-168"</f>
        <v>4/2015-MUP-168</v>
      </c>
      <c r="D570" s="56">
        <v>42449</v>
      </c>
      <c r="E570" s="56">
        <v>42814</v>
      </c>
      <c r="F570" s="8">
        <v>3267.16</v>
      </c>
      <c r="G570" s="8">
        <v>3267.16</v>
      </c>
      <c r="H570" s="56">
        <v>42916</v>
      </c>
      <c r="I570" s="24">
        <v>3267.16</v>
      </c>
      <c r="J570" s="77"/>
    </row>
    <row r="571" spans="1:11" ht="24" x14ac:dyDescent="0.25">
      <c r="A571" s="115">
        <v>555</v>
      </c>
      <c r="B571" s="60" t="s">
        <v>195</v>
      </c>
      <c r="C571" s="10" t="str">
        <f>"4/2015-MUP-167"</f>
        <v>4/2015-MUP-167</v>
      </c>
      <c r="D571" s="56">
        <v>42448</v>
      </c>
      <c r="E571" s="56">
        <v>42813</v>
      </c>
      <c r="F571" s="8">
        <v>380.35</v>
      </c>
      <c r="G571" s="8">
        <v>380.35</v>
      </c>
      <c r="H571" s="56">
        <v>42916</v>
      </c>
      <c r="I571" s="24">
        <v>380.35</v>
      </c>
      <c r="J571" s="77"/>
      <c r="K571" s="48"/>
    </row>
    <row r="572" spans="1:11" ht="24" x14ac:dyDescent="0.25">
      <c r="A572" s="115">
        <v>556</v>
      </c>
      <c r="B572" s="60" t="s">
        <v>195</v>
      </c>
      <c r="C572" s="10" t="str">
        <f>"4/2015-MUP-166"</f>
        <v>4/2015-MUP-166</v>
      </c>
      <c r="D572" s="56">
        <v>42447</v>
      </c>
      <c r="E572" s="56">
        <v>42812</v>
      </c>
      <c r="F572" s="8">
        <v>1748.58</v>
      </c>
      <c r="G572" s="8">
        <v>1748.58</v>
      </c>
      <c r="H572" s="56">
        <v>42916</v>
      </c>
      <c r="I572" s="24">
        <v>1748.58</v>
      </c>
      <c r="J572" s="77"/>
    </row>
    <row r="573" spans="1:11" ht="24" x14ac:dyDescent="0.25">
      <c r="A573" s="115">
        <v>557</v>
      </c>
      <c r="B573" s="60" t="s">
        <v>195</v>
      </c>
      <c r="C573" s="10" t="str">
        <f>"4/2015-MUP-165"</f>
        <v>4/2015-MUP-165</v>
      </c>
      <c r="D573" s="56">
        <v>42446</v>
      </c>
      <c r="E573" s="56">
        <v>42811</v>
      </c>
      <c r="F573" s="8">
        <v>22213.15</v>
      </c>
      <c r="G573" s="8">
        <v>22213.15</v>
      </c>
      <c r="H573" s="56">
        <v>42916</v>
      </c>
      <c r="I573" s="24">
        <v>22213.15</v>
      </c>
      <c r="J573" s="77"/>
    </row>
    <row r="574" spans="1:11" ht="24" x14ac:dyDescent="0.25">
      <c r="A574" s="115">
        <v>558</v>
      </c>
      <c r="B574" s="60" t="s">
        <v>195</v>
      </c>
      <c r="C574" s="10" t="str">
        <f>"4/2015-MUP-164"</f>
        <v>4/2015-MUP-164</v>
      </c>
      <c r="D574" s="56">
        <v>42445</v>
      </c>
      <c r="E574" s="56">
        <v>42810</v>
      </c>
      <c r="F574" s="8">
        <v>190.8</v>
      </c>
      <c r="G574" s="8">
        <v>190.8</v>
      </c>
      <c r="H574" s="56">
        <v>42916</v>
      </c>
      <c r="I574" s="24">
        <v>190.8</v>
      </c>
      <c r="J574" s="77"/>
      <c r="K574" s="48"/>
    </row>
    <row r="575" spans="1:11" ht="24" x14ac:dyDescent="0.25">
      <c r="A575" s="115">
        <v>559</v>
      </c>
      <c r="B575" s="60" t="s">
        <v>195</v>
      </c>
      <c r="C575" s="10" t="str">
        <f>"4/2015-MUP-163"</f>
        <v>4/2015-MUP-163</v>
      </c>
      <c r="D575" s="56">
        <v>42444</v>
      </c>
      <c r="E575" s="56">
        <v>42809</v>
      </c>
      <c r="F575" s="8">
        <v>42.03</v>
      </c>
      <c r="G575" s="8">
        <v>42.03</v>
      </c>
      <c r="H575" s="56">
        <v>42916</v>
      </c>
      <c r="I575" s="24">
        <v>42.03</v>
      </c>
      <c r="J575" s="77"/>
    </row>
    <row r="576" spans="1:11" ht="24" x14ac:dyDescent="0.25">
      <c r="A576" s="115">
        <v>560</v>
      </c>
      <c r="B576" s="60" t="s">
        <v>195</v>
      </c>
      <c r="C576" s="10" t="str">
        <f>"4/2015-MUP-162"</f>
        <v>4/2015-MUP-162</v>
      </c>
      <c r="D576" s="56">
        <v>42443</v>
      </c>
      <c r="E576" s="56">
        <v>42808</v>
      </c>
      <c r="F576" s="8">
        <v>9790.18</v>
      </c>
      <c r="G576" s="8">
        <v>9790.18</v>
      </c>
      <c r="H576" s="56">
        <v>42916</v>
      </c>
      <c r="I576" s="24">
        <v>9790.18</v>
      </c>
      <c r="J576" s="77"/>
    </row>
    <row r="577" spans="1:11" ht="24" x14ac:dyDescent="0.25">
      <c r="A577" s="115">
        <v>561</v>
      </c>
      <c r="B577" s="60" t="s">
        <v>195</v>
      </c>
      <c r="C577" s="10" t="str">
        <f>"4/2015-MUP-193"</f>
        <v>4/2015-MUP-193</v>
      </c>
      <c r="D577" s="56">
        <v>42443</v>
      </c>
      <c r="E577" s="56">
        <v>42808</v>
      </c>
      <c r="F577" s="8">
        <v>10792.72</v>
      </c>
      <c r="G577" s="8">
        <v>10792.72</v>
      </c>
      <c r="H577" s="56">
        <v>42916</v>
      </c>
      <c r="I577" s="24">
        <v>10792.72</v>
      </c>
      <c r="J577" s="77"/>
      <c r="K577" s="48"/>
    </row>
    <row r="578" spans="1:11" ht="24" x14ac:dyDescent="0.25">
      <c r="A578" s="115">
        <v>562</v>
      </c>
      <c r="B578" s="60" t="s">
        <v>195</v>
      </c>
      <c r="C578" s="10" t="str">
        <f>"4/2015-MUP-161"</f>
        <v>4/2015-MUP-161</v>
      </c>
      <c r="D578" s="56">
        <v>42442</v>
      </c>
      <c r="E578" s="56">
        <v>42807</v>
      </c>
      <c r="F578" s="8">
        <v>2336.44</v>
      </c>
      <c r="G578" s="8">
        <v>2336.44</v>
      </c>
      <c r="H578" s="56">
        <v>42916</v>
      </c>
      <c r="I578" s="24">
        <v>2336.44</v>
      </c>
      <c r="J578" s="77"/>
    </row>
    <row r="579" spans="1:11" ht="24" x14ac:dyDescent="0.25">
      <c r="A579" s="115">
        <v>563</v>
      </c>
      <c r="B579" s="60" t="s">
        <v>210</v>
      </c>
      <c r="C579" s="10" t="str">
        <f>"4/2015-MFINPU-18"</f>
        <v>4/2015-MFINPU-18</v>
      </c>
      <c r="D579" s="56">
        <v>42442</v>
      </c>
      <c r="E579" s="56">
        <v>42807</v>
      </c>
      <c r="F579" s="8">
        <v>5285.37</v>
      </c>
      <c r="G579" s="8">
        <v>5285.37</v>
      </c>
      <c r="H579" s="56">
        <v>42807</v>
      </c>
      <c r="I579" s="24">
        <v>5285.37</v>
      </c>
      <c r="J579" s="77"/>
    </row>
    <row r="580" spans="1:11" ht="24" x14ac:dyDescent="0.25">
      <c r="A580" s="115">
        <v>564</v>
      </c>
      <c r="B580" s="60" t="s">
        <v>195</v>
      </c>
      <c r="C580" s="10" t="str">
        <f>"4/2015-MUP-160"</f>
        <v>4/2015-MUP-160</v>
      </c>
      <c r="D580" s="56">
        <v>42441</v>
      </c>
      <c r="E580" s="56">
        <v>42806</v>
      </c>
      <c r="F580" s="8">
        <v>4580.42</v>
      </c>
      <c r="G580" s="8">
        <v>4580.42</v>
      </c>
      <c r="H580" s="56">
        <v>42916</v>
      </c>
      <c r="I580" s="24">
        <v>4580.42</v>
      </c>
      <c r="J580" s="77"/>
      <c r="K580" s="48"/>
    </row>
    <row r="581" spans="1:11" ht="24" x14ac:dyDescent="0.25">
      <c r="A581" s="115">
        <v>565</v>
      </c>
      <c r="B581" s="60" t="s">
        <v>195</v>
      </c>
      <c r="C581" s="10" t="str">
        <f>"4/2015-MUP-159"</f>
        <v>4/2015-MUP-159</v>
      </c>
      <c r="D581" s="56">
        <v>42440</v>
      </c>
      <c r="E581" s="56">
        <v>42805</v>
      </c>
      <c r="F581" s="8">
        <v>18544.7</v>
      </c>
      <c r="G581" s="8">
        <v>18544.7</v>
      </c>
      <c r="H581" s="56">
        <v>42916</v>
      </c>
      <c r="I581" s="24">
        <v>18544.7</v>
      </c>
      <c r="J581" s="77"/>
    </row>
    <row r="582" spans="1:11" ht="24" x14ac:dyDescent="0.25">
      <c r="A582" s="115">
        <v>566</v>
      </c>
      <c r="B582" s="60" t="s">
        <v>210</v>
      </c>
      <c r="C582" s="10" t="str">
        <f>"4/2015-MFINPU-27"</f>
        <v>4/2015-MFINPU-27</v>
      </c>
      <c r="D582" s="56">
        <v>42440</v>
      </c>
      <c r="E582" s="56">
        <v>42805</v>
      </c>
      <c r="F582" s="8">
        <v>122.29</v>
      </c>
      <c r="G582" s="8">
        <v>122.29</v>
      </c>
      <c r="H582" s="56">
        <v>42805</v>
      </c>
      <c r="I582" s="24">
        <v>122.29</v>
      </c>
      <c r="J582" s="77"/>
    </row>
    <row r="583" spans="1:11" ht="24" x14ac:dyDescent="0.25">
      <c r="A583" s="115">
        <v>567</v>
      </c>
      <c r="B583" s="60" t="s">
        <v>202</v>
      </c>
      <c r="C583" s="10" t="str">
        <f>"027/2016"</f>
        <v>027/2016</v>
      </c>
      <c r="D583" s="56">
        <v>42433</v>
      </c>
      <c r="E583" s="56">
        <v>42804</v>
      </c>
      <c r="F583" s="8">
        <v>3694.72</v>
      </c>
      <c r="G583" s="8">
        <v>4064.19</v>
      </c>
      <c r="H583" s="56">
        <v>42825</v>
      </c>
      <c r="I583" s="24">
        <v>3694.72</v>
      </c>
      <c r="J583" s="77"/>
      <c r="K583" s="48"/>
    </row>
    <row r="584" spans="1:11" ht="24" x14ac:dyDescent="0.25">
      <c r="A584" s="115">
        <v>568</v>
      </c>
      <c r="B584" s="60" t="s">
        <v>202</v>
      </c>
      <c r="C584" s="10" t="str">
        <f>"029/2016"</f>
        <v>029/2016</v>
      </c>
      <c r="D584" s="56">
        <v>42439</v>
      </c>
      <c r="E584" s="56">
        <v>42804</v>
      </c>
      <c r="F584" s="8">
        <v>476.85</v>
      </c>
      <c r="G584" s="8">
        <v>548.38</v>
      </c>
      <c r="H584" s="56">
        <v>42825</v>
      </c>
      <c r="I584" s="24">
        <v>476.85</v>
      </c>
      <c r="J584" s="77"/>
    </row>
    <row r="585" spans="1:11" ht="24" x14ac:dyDescent="0.25">
      <c r="A585" s="115">
        <v>569</v>
      </c>
      <c r="B585" s="60" t="s">
        <v>195</v>
      </c>
      <c r="C585" s="10" t="str">
        <f>"4/2015-MUP-158"</f>
        <v>4/2015-MUP-158</v>
      </c>
      <c r="D585" s="56">
        <v>42439</v>
      </c>
      <c r="E585" s="56">
        <v>42804</v>
      </c>
      <c r="F585" s="8">
        <v>596.34</v>
      </c>
      <c r="G585" s="8">
        <v>596.34</v>
      </c>
      <c r="H585" s="56">
        <v>42916</v>
      </c>
      <c r="I585" s="24">
        <v>596.34</v>
      </c>
      <c r="J585" s="77"/>
    </row>
    <row r="586" spans="1:11" ht="24" x14ac:dyDescent="0.25">
      <c r="A586" s="115">
        <v>570</v>
      </c>
      <c r="B586" s="60" t="s">
        <v>195</v>
      </c>
      <c r="C586" s="10" t="str">
        <f>"4/2015-MUP-157"</f>
        <v>4/2015-MUP-157</v>
      </c>
      <c r="D586" s="56">
        <v>42438</v>
      </c>
      <c r="E586" s="56">
        <v>42803</v>
      </c>
      <c r="F586" s="8">
        <v>8909.27</v>
      </c>
      <c r="G586" s="8">
        <v>8909.27</v>
      </c>
      <c r="H586" s="56">
        <v>42916</v>
      </c>
      <c r="I586" s="24">
        <v>8909.27</v>
      </c>
      <c r="J586" s="77"/>
      <c r="K586" s="48"/>
    </row>
    <row r="587" spans="1:11" ht="24" x14ac:dyDescent="0.25">
      <c r="A587" s="115">
        <v>571</v>
      </c>
      <c r="B587" s="60" t="s">
        <v>195</v>
      </c>
      <c r="C587" s="10" t="str">
        <f>"4/2015-MUP-156"</f>
        <v>4/2015-MUP-156</v>
      </c>
      <c r="D587" s="56">
        <v>42437</v>
      </c>
      <c r="E587" s="56">
        <v>42802</v>
      </c>
      <c r="F587" s="8">
        <v>1204.8599999999999</v>
      </c>
      <c r="G587" s="8">
        <v>1204.8599999999999</v>
      </c>
      <c r="H587" s="56">
        <v>42916</v>
      </c>
      <c r="I587" s="24">
        <v>366.17</v>
      </c>
      <c r="J587" s="77"/>
    </row>
    <row r="588" spans="1:11" ht="24" x14ac:dyDescent="0.25">
      <c r="A588" s="115">
        <v>572</v>
      </c>
      <c r="B588" s="60" t="s">
        <v>195</v>
      </c>
      <c r="C588" s="10" t="str">
        <f>"4/2015-MUP-155"</f>
        <v>4/2015-MUP-155</v>
      </c>
      <c r="D588" s="56">
        <v>42436</v>
      </c>
      <c r="E588" s="56">
        <v>42801</v>
      </c>
      <c r="F588" s="8">
        <v>719.81</v>
      </c>
      <c r="G588" s="8">
        <v>719.81</v>
      </c>
      <c r="H588" s="56">
        <v>42916</v>
      </c>
      <c r="I588" s="24">
        <v>719.81</v>
      </c>
      <c r="J588" s="77"/>
    </row>
    <row r="589" spans="1:11" ht="24" x14ac:dyDescent="0.25">
      <c r="A589" s="115">
        <v>573</v>
      </c>
      <c r="B589" s="60" t="s">
        <v>195</v>
      </c>
      <c r="C589" s="10" t="str">
        <f>"4/2015-MUP-154"</f>
        <v>4/2015-MUP-154</v>
      </c>
      <c r="D589" s="56">
        <v>42435</v>
      </c>
      <c r="E589" s="56">
        <v>42800</v>
      </c>
      <c r="F589" s="8">
        <v>5106</v>
      </c>
      <c r="G589" s="8">
        <v>5106</v>
      </c>
      <c r="H589" s="56">
        <v>42916</v>
      </c>
      <c r="I589" s="24">
        <v>5106</v>
      </c>
      <c r="J589" s="77"/>
      <c r="K589" s="48"/>
    </row>
    <row r="590" spans="1:11" ht="24" x14ac:dyDescent="0.25">
      <c r="A590" s="115">
        <v>574</v>
      </c>
      <c r="B590" s="60" t="s">
        <v>195</v>
      </c>
      <c r="C590" s="10" t="str">
        <f>"4/2015-MUP-153"</f>
        <v>4/2015-MUP-153</v>
      </c>
      <c r="D590" s="56">
        <v>42434</v>
      </c>
      <c r="E590" s="56">
        <v>42799</v>
      </c>
      <c r="F590" s="8">
        <v>24238.36</v>
      </c>
      <c r="G590" s="8">
        <v>24238.36</v>
      </c>
      <c r="H590" s="56">
        <v>42916</v>
      </c>
      <c r="I590" s="24">
        <v>24238.36</v>
      </c>
      <c r="J590" s="77"/>
    </row>
    <row r="591" spans="1:11" ht="24" x14ac:dyDescent="0.25">
      <c r="A591" s="115">
        <v>575</v>
      </c>
      <c r="B591" s="60" t="s">
        <v>195</v>
      </c>
      <c r="C591" s="10" t="str">
        <f>"4/2015-MIUP-151"</f>
        <v>4/2015-MIUP-151</v>
      </c>
      <c r="D591" s="56">
        <v>42432</v>
      </c>
      <c r="E591" s="56">
        <v>42797</v>
      </c>
      <c r="F591" s="8">
        <v>5281.86</v>
      </c>
      <c r="G591" s="8">
        <v>5281.86</v>
      </c>
      <c r="H591" s="56">
        <v>42916</v>
      </c>
      <c r="I591" s="24">
        <v>5281.86</v>
      </c>
      <c r="J591" s="77"/>
    </row>
    <row r="592" spans="1:11" ht="24" x14ac:dyDescent="0.25">
      <c r="A592" s="115">
        <v>576</v>
      </c>
      <c r="B592" s="60" t="s">
        <v>195</v>
      </c>
      <c r="C592" s="10" t="str">
        <f>"4/2015-MUP-150"</f>
        <v>4/2015-MUP-150</v>
      </c>
      <c r="D592" s="56">
        <v>42431</v>
      </c>
      <c r="E592" s="56">
        <v>42796</v>
      </c>
      <c r="F592" s="8">
        <v>6449.57</v>
      </c>
      <c r="G592" s="8">
        <v>6449.57</v>
      </c>
      <c r="H592" s="56">
        <v>42825</v>
      </c>
      <c r="I592" s="24">
        <v>6449.57</v>
      </c>
      <c r="J592" s="77"/>
      <c r="K592" s="48"/>
    </row>
    <row r="593" spans="1:11" ht="24" x14ac:dyDescent="0.25">
      <c r="A593" s="115">
        <v>577</v>
      </c>
      <c r="B593" s="60" t="s">
        <v>195</v>
      </c>
      <c r="C593" s="10" t="str">
        <f>"4/2015-MUP-149"</f>
        <v>4/2015-MUP-149</v>
      </c>
      <c r="D593" s="56">
        <v>42430</v>
      </c>
      <c r="E593" s="56">
        <v>42795</v>
      </c>
      <c r="F593" s="8">
        <v>4068.13</v>
      </c>
      <c r="G593" s="8">
        <v>4068.13</v>
      </c>
      <c r="H593" s="56">
        <v>42825</v>
      </c>
      <c r="I593" s="24">
        <v>4068.13</v>
      </c>
      <c r="J593" s="77"/>
    </row>
    <row r="594" spans="1:11" ht="24" x14ac:dyDescent="0.25">
      <c r="A594" s="115">
        <v>578</v>
      </c>
      <c r="B594" s="60" t="s">
        <v>195</v>
      </c>
      <c r="C594" s="10" t="str">
        <f>"4/2015-MUP-148"</f>
        <v>4/2015-MUP-148</v>
      </c>
      <c r="D594" s="56">
        <v>42428</v>
      </c>
      <c r="E594" s="56">
        <v>42794</v>
      </c>
      <c r="F594" s="8">
        <v>4165.42</v>
      </c>
      <c r="G594" s="8">
        <v>4165.42</v>
      </c>
      <c r="H594" s="56">
        <v>42825</v>
      </c>
      <c r="I594" s="24">
        <v>4165.42</v>
      </c>
      <c r="J594" s="77"/>
    </row>
    <row r="595" spans="1:11" ht="24" x14ac:dyDescent="0.25">
      <c r="A595" s="115">
        <v>579</v>
      </c>
      <c r="B595" s="60" t="s">
        <v>195</v>
      </c>
      <c r="C595" s="10" t="str">
        <f>"4/2015-MUP-147"</f>
        <v>4/2015-MUP-147</v>
      </c>
      <c r="D595" s="56">
        <v>42427</v>
      </c>
      <c r="E595" s="56">
        <v>42793</v>
      </c>
      <c r="F595" s="8">
        <v>468.36</v>
      </c>
      <c r="G595" s="8">
        <v>468.36</v>
      </c>
      <c r="H595" s="56">
        <v>42825</v>
      </c>
      <c r="I595" s="24">
        <v>468.36</v>
      </c>
      <c r="J595" s="77"/>
      <c r="K595" s="48"/>
    </row>
    <row r="596" spans="1:11" ht="24" x14ac:dyDescent="0.25">
      <c r="A596" s="115">
        <v>580</v>
      </c>
      <c r="B596" s="60" t="s">
        <v>195</v>
      </c>
      <c r="C596" s="10" t="str">
        <f>"4/2015-MUP-146"</f>
        <v>4/2015-MUP-146</v>
      </c>
      <c r="D596" s="56">
        <v>42426</v>
      </c>
      <c r="E596" s="56">
        <v>42792</v>
      </c>
      <c r="F596" s="8">
        <v>1333.83</v>
      </c>
      <c r="G596" s="8">
        <v>1333.83</v>
      </c>
      <c r="H596" s="56">
        <v>42825</v>
      </c>
      <c r="I596" s="24">
        <v>1333.83</v>
      </c>
      <c r="J596" s="77"/>
    </row>
    <row r="597" spans="1:11" ht="24" x14ac:dyDescent="0.25">
      <c r="A597" s="115">
        <v>581</v>
      </c>
      <c r="B597" s="60" t="s">
        <v>195</v>
      </c>
      <c r="C597" s="10" t="str">
        <f>"4/2015-MUP-145"</f>
        <v>4/2015-MUP-145</v>
      </c>
      <c r="D597" s="56">
        <v>42425</v>
      </c>
      <c r="E597" s="56">
        <v>42791</v>
      </c>
      <c r="F597" s="8">
        <v>9718.4</v>
      </c>
      <c r="G597" s="8">
        <v>9718.4</v>
      </c>
      <c r="H597" s="56">
        <v>42825</v>
      </c>
      <c r="I597" s="24">
        <v>9718.4</v>
      </c>
      <c r="J597" s="77"/>
    </row>
    <row r="598" spans="1:11" ht="24" x14ac:dyDescent="0.25">
      <c r="A598" s="115">
        <v>582</v>
      </c>
      <c r="B598" s="60" t="s">
        <v>195</v>
      </c>
      <c r="C598" s="10" t="str">
        <f>"4/2015-MUP-144"</f>
        <v>4/2015-MUP-144</v>
      </c>
      <c r="D598" s="56">
        <v>42424</v>
      </c>
      <c r="E598" s="56">
        <v>42790</v>
      </c>
      <c r="F598" s="8">
        <v>2410.88</v>
      </c>
      <c r="G598" s="8">
        <v>2410.88</v>
      </c>
      <c r="H598" s="56">
        <v>42825</v>
      </c>
      <c r="I598" s="24">
        <v>2410.88</v>
      </c>
      <c r="J598" s="77"/>
      <c r="K598" s="48"/>
    </row>
    <row r="599" spans="1:11" ht="24" x14ac:dyDescent="0.25">
      <c r="A599" s="115">
        <v>583</v>
      </c>
      <c r="B599" s="60" t="s">
        <v>195</v>
      </c>
      <c r="C599" s="10" t="str">
        <f>"4/2015-MUP-143"</f>
        <v>4/2015-MUP-143</v>
      </c>
      <c r="D599" s="56">
        <v>42423</v>
      </c>
      <c r="E599" s="56">
        <v>42789</v>
      </c>
      <c r="F599" s="8">
        <v>3140.7</v>
      </c>
      <c r="G599" s="8">
        <v>3140.7</v>
      </c>
      <c r="H599" s="56">
        <v>42825</v>
      </c>
      <c r="I599" s="24">
        <v>3140.7</v>
      </c>
      <c r="J599" s="77"/>
    </row>
    <row r="600" spans="1:11" ht="24" x14ac:dyDescent="0.25">
      <c r="A600" s="115">
        <v>584</v>
      </c>
      <c r="B600" s="60" t="s">
        <v>195</v>
      </c>
      <c r="C600" s="10" t="str">
        <f>"4/2015-MUP-142"</f>
        <v>4/2015-MUP-142</v>
      </c>
      <c r="D600" s="56">
        <v>42422</v>
      </c>
      <c r="E600" s="56">
        <v>42788</v>
      </c>
      <c r="F600" s="8">
        <v>1099.08</v>
      </c>
      <c r="G600" s="8">
        <v>1099.08</v>
      </c>
      <c r="H600" s="56">
        <v>42825</v>
      </c>
      <c r="I600" s="24">
        <v>1099.08</v>
      </c>
      <c r="J600" s="77"/>
    </row>
    <row r="601" spans="1:11" ht="24" x14ac:dyDescent="0.25">
      <c r="A601" s="115">
        <v>585</v>
      </c>
      <c r="B601" s="60" t="s">
        <v>195</v>
      </c>
      <c r="C601" s="10" t="str">
        <f>"4/2015-MUP-141"</f>
        <v>4/2015-MUP-141</v>
      </c>
      <c r="D601" s="56">
        <v>42421</v>
      </c>
      <c r="E601" s="56">
        <v>42787</v>
      </c>
      <c r="F601" s="8">
        <v>1110.6199999999999</v>
      </c>
      <c r="G601" s="8">
        <v>1110.6199999999999</v>
      </c>
      <c r="H601" s="56">
        <v>42825</v>
      </c>
      <c r="I601" s="24">
        <v>1110.6199999999999</v>
      </c>
      <c r="J601" s="77"/>
      <c r="K601" s="48"/>
    </row>
    <row r="602" spans="1:11" ht="24" x14ac:dyDescent="0.25">
      <c r="A602" s="115">
        <v>586</v>
      </c>
      <c r="B602" s="60" t="s">
        <v>195</v>
      </c>
      <c r="C602" s="10" t="str">
        <f>"4/2015-MUP-140"</f>
        <v>4/2015-MUP-140</v>
      </c>
      <c r="D602" s="56">
        <v>42419</v>
      </c>
      <c r="E602" s="56">
        <v>42785</v>
      </c>
      <c r="F602" s="8">
        <v>590.27</v>
      </c>
      <c r="G602" s="8">
        <v>590.27</v>
      </c>
      <c r="H602" s="56">
        <v>42825</v>
      </c>
      <c r="I602" s="24">
        <v>590.27</v>
      </c>
      <c r="J602" s="77"/>
    </row>
    <row r="603" spans="1:11" x14ac:dyDescent="0.25">
      <c r="A603" s="115">
        <v>587</v>
      </c>
      <c r="B603" s="60" t="s">
        <v>186</v>
      </c>
      <c r="C603" s="10" t="str">
        <f>"017000010940"</f>
        <v>017000010940</v>
      </c>
      <c r="D603" s="56">
        <v>42419</v>
      </c>
      <c r="E603" s="56">
        <v>42785</v>
      </c>
      <c r="F603" s="8">
        <v>372.62</v>
      </c>
      <c r="G603" s="8">
        <v>428.51</v>
      </c>
      <c r="H603" s="56">
        <v>42551</v>
      </c>
      <c r="I603" s="24">
        <v>372.62</v>
      </c>
      <c r="J603" s="77"/>
    </row>
    <row r="604" spans="1:11" ht="24" x14ac:dyDescent="0.25">
      <c r="A604" s="115">
        <v>588</v>
      </c>
      <c r="B604" s="60" t="s">
        <v>195</v>
      </c>
      <c r="C604" s="10" t="str">
        <f>"4/2015-MUP-139"</f>
        <v>4/2015-MUP-139</v>
      </c>
      <c r="D604" s="56">
        <v>42418</v>
      </c>
      <c r="E604" s="56">
        <v>42784</v>
      </c>
      <c r="F604" s="8">
        <v>1733.83</v>
      </c>
      <c r="G604" s="8">
        <v>1733.83</v>
      </c>
      <c r="H604" s="56">
        <v>42825</v>
      </c>
      <c r="I604" s="24">
        <v>1733.83</v>
      </c>
      <c r="J604" s="77"/>
      <c r="K604" s="48"/>
    </row>
    <row r="605" spans="1:11" ht="24" x14ac:dyDescent="0.25">
      <c r="A605" s="115">
        <v>589</v>
      </c>
      <c r="B605" s="60" t="s">
        <v>195</v>
      </c>
      <c r="C605" s="10" t="str">
        <f>"4/2015-MUP-137"</f>
        <v>4/2015-MUP-137</v>
      </c>
      <c r="D605" s="56">
        <v>42416</v>
      </c>
      <c r="E605" s="56">
        <v>42782</v>
      </c>
      <c r="F605" s="8">
        <v>4699.3999999999996</v>
      </c>
      <c r="G605" s="8">
        <v>4699.3999999999996</v>
      </c>
      <c r="H605" s="56">
        <v>42825</v>
      </c>
      <c r="I605" s="24">
        <v>4699.3999999999996</v>
      </c>
      <c r="J605" s="77"/>
    </row>
    <row r="606" spans="1:11" ht="24" x14ac:dyDescent="0.25">
      <c r="A606" s="115">
        <v>590</v>
      </c>
      <c r="B606" s="60" t="s">
        <v>210</v>
      </c>
      <c r="C606" s="10" t="str">
        <f>"4/2015-MFINPU-24"</f>
        <v>4/2015-MFINPU-24</v>
      </c>
      <c r="D606" s="56">
        <v>42415</v>
      </c>
      <c r="E606" s="56">
        <v>42781</v>
      </c>
      <c r="F606" s="8">
        <v>245.39</v>
      </c>
      <c r="G606" s="8">
        <v>245.39</v>
      </c>
      <c r="H606" s="56">
        <v>42781</v>
      </c>
      <c r="I606" s="24">
        <v>245.39</v>
      </c>
      <c r="J606" s="77"/>
    </row>
    <row r="607" spans="1:11" ht="24" x14ac:dyDescent="0.25">
      <c r="A607" s="115">
        <v>591</v>
      </c>
      <c r="B607" s="60" t="s">
        <v>195</v>
      </c>
      <c r="C607" s="10" t="str">
        <f>"4/2015-MUP-136"</f>
        <v>4/2015-MUP-136</v>
      </c>
      <c r="D607" s="56">
        <v>42415</v>
      </c>
      <c r="E607" s="56">
        <v>42781</v>
      </c>
      <c r="F607" s="8">
        <v>4174.41</v>
      </c>
      <c r="G607" s="8">
        <v>4174.41</v>
      </c>
      <c r="H607" s="56">
        <v>42825</v>
      </c>
      <c r="I607" s="24">
        <v>4174.41</v>
      </c>
      <c r="J607" s="77"/>
      <c r="K607" s="48"/>
    </row>
    <row r="608" spans="1:11" ht="24" x14ac:dyDescent="0.25">
      <c r="A608" s="115">
        <v>592</v>
      </c>
      <c r="B608" s="60" t="s">
        <v>195</v>
      </c>
      <c r="C608" s="10" t="str">
        <f>"4/2015-MUP-135"</f>
        <v>4/2015-MUP-135</v>
      </c>
      <c r="D608" s="56">
        <v>42414</v>
      </c>
      <c r="E608" s="56">
        <v>42780</v>
      </c>
      <c r="F608" s="8">
        <v>540.88</v>
      </c>
      <c r="G608" s="8">
        <v>540.88</v>
      </c>
      <c r="H608" s="56">
        <v>42825</v>
      </c>
      <c r="I608" s="24">
        <v>540.88</v>
      </c>
      <c r="J608" s="77"/>
    </row>
    <row r="609" spans="1:11" ht="24" x14ac:dyDescent="0.25">
      <c r="A609" s="115">
        <v>593</v>
      </c>
      <c r="B609" s="60" t="s">
        <v>195</v>
      </c>
      <c r="C609" s="10" t="str">
        <f>"4/2015-MUP-134"</f>
        <v>4/2015-MUP-134</v>
      </c>
      <c r="D609" s="56">
        <v>42413</v>
      </c>
      <c r="E609" s="56">
        <v>42779</v>
      </c>
      <c r="F609" s="8">
        <v>8996.17</v>
      </c>
      <c r="G609" s="8">
        <v>8996.17</v>
      </c>
      <c r="H609" s="56">
        <v>42825</v>
      </c>
      <c r="I609" s="24">
        <v>8996.17</v>
      </c>
      <c r="J609" s="77"/>
    </row>
    <row r="610" spans="1:11" ht="24" x14ac:dyDescent="0.25">
      <c r="A610" s="115">
        <v>594</v>
      </c>
      <c r="B610" s="60" t="s">
        <v>195</v>
      </c>
      <c r="C610" s="10" t="str">
        <f>"4/2015-MUP-133"</f>
        <v>4/2015-MUP-133</v>
      </c>
      <c r="D610" s="56">
        <v>42412</v>
      </c>
      <c r="E610" s="56">
        <v>42778</v>
      </c>
      <c r="F610" s="8">
        <v>3429.13</v>
      </c>
      <c r="G610" s="8">
        <v>3429.13</v>
      </c>
      <c r="H610" s="56">
        <v>42825</v>
      </c>
      <c r="I610" s="24">
        <v>3429.13</v>
      </c>
      <c r="J610" s="77"/>
      <c r="K610" s="48"/>
    </row>
    <row r="611" spans="1:11" x14ac:dyDescent="0.25">
      <c r="A611" s="115">
        <v>595</v>
      </c>
      <c r="B611" s="60" t="s">
        <v>186</v>
      </c>
      <c r="C611" s="10" t="str">
        <f>"017000010932"</f>
        <v>017000010932</v>
      </c>
      <c r="D611" s="56">
        <v>42411</v>
      </c>
      <c r="E611" s="56">
        <v>42777</v>
      </c>
      <c r="F611" s="8">
        <v>564.4</v>
      </c>
      <c r="G611" s="8">
        <v>649.05999999999995</v>
      </c>
      <c r="H611" s="56">
        <v>42551</v>
      </c>
      <c r="I611" s="24">
        <v>564.4</v>
      </c>
      <c r="J611" s="77"/>
    </row>
    <row r="612" spans="1:11" ht="24" x14ac:dyDescent="0.25">
      <c r="A612" s="115">
        <v>596</v>
      </c>
      <c r="B612" s="60" t="s">
        <v>195</v>
      </c>
      <c r="C612" s="10" t="str">
        <f>"4/2015-MUP-132"</f>
        <v>4/2015-MUP-132</v>
      </c>
      <c r="D612" s="56">
        <v>42411</v>
      </c>
      <c r="E612" s="56">
        <v>42777</v>
      </c>
      <c r="F612" s="8">
        <v>2384.16</v>
      </c>
      <c r="G612" s="8">
        <v>2384.16</v>
      </c>
      <c r="H612" s="56">
        <v>42825</v>
      </c>
      <c r="I612" s="24">
        <v>2384.16</v>
      </c>
      <c r="J612" s="77"/>
    </row>
    <row r="613" spans="1:11" ht="24" x14ac:dyDescent="0.25">
      <c r="A613" s="115">
        <v>597</v>
      </c>
      <c r="B613" s="60" t="s">
        <v>195</v>
      </c>
      <c r="C613" s="10" t="str">
        <f>"4/2015-MUP-131"</f>
        <v>4/2015-MUP-131</v>
      </c>
      <c r="D613" s="56">
        <v>42410</v>
      </c>
      <c r="E613" s="56">
        <v>42776</v>
      </c>
      <c r="F613" s="8">
        <v>939.86</v>
      </c>
      <c r="G613" s="8">
        <v>939.86</v>
      </c>
      <c r="H613" s="56">
        <v>42825</v>
      </c>
      <c r="I613" s="24">
        <v>939.86</v>
      </c>
      <c r="J613" s="77"/>
      <c r="K613" s="48"/>
    </row>
    <row r="614" spans="1:11" ht="24" x14ac:dyDescent="0.25">
      <c r="A614" s="115">
        <v>598</v>
      </c>
      <c r="B614" s="60" t="s">
        <v>195</v>
      </c>
      <c r="C614" s="10" t="str">
        <f>"4/2015-MUP-130"</f>
        <v>4/2015-MUP-130</v>
      </c>
      <c r="D614" s="56">
        <v>42409</v>
      </c>
      <c r="E614" s="56">
        <v>42775</v>
      </c>
      <c r="F614" s="8">
        <v>1200.96</v>
      </c>
      <c r="G614" s="8">
        <v>1200.96</v>
      </c>
      <c r="H614" s="56">
        <v>42825</v>
      </c>
      <c r="I614" s="24">
        <v>1200.96</v>
      </c>
      <c r="J614" s="77"/>
    </row>
    <row r="615" spans="1:11" ht="24" x14ac:dyDescent="0.25">
      <c r="A615" s="115">
        <v>599</v>
      </c>
      <c r="B615" s="60" t="s">
        <v>195</v>
      </c>
      <c r="C615" s="10" t="str">
        <f>"4/2015-MUP-129"</f>
        <v>4/2015-MUP-129</v>
      </c>
      <c r="D615" s="56">
        <v>42408</v>
      </c>
      <c r="E615" s="56">
        <v>42774</v>
      </c>
      <c r="F615" s="8">
        <v>427.64</v>
      </c>
      <c r="G615" s="8">
        <v>427.64</v>
      </c>
      <c r="H615" s="56">
        <v>42825</v>
      </c>
      <c r="I615" s="24">
        <v>427.64</v>
      </c>
      <c r="J615" s="77"/>
    </row>
    <row r="616" spans="1:11" x14ac:dyDescent="0.25">
      <c r="A616" s="115">
        <v>600</v>
      </c>
      <c r="B616" s="60" t="s">
        <v>186</v>
      </c>
      <c r="C616" s="10" t="str">
        <f>"017000010908"</f>
        <v>017000010908</v>
      </c>
      <c r="D616" s="56">
        <v>42407</v>
      </c>
      <c r="E616" s="56">
        <v>42773</v>
      </c>
      <c r="F616" s="8">
        <v>203.63</v>
      </c>
      <c r="G616" s="8">
        <v>234.17</v>
      </c>
      <c r="H616" s="56">
        <v>42551</v>
      </c>
      <c r="I616" s="24">
        <v>203.63</v>
      </c>
      <c r="J616" s="77"/>
      <c r="K616" s="48"/>
    </row>
    <row r="617" spans="1:11" ht="24" x14ac:dyDescent="0.25">
      <c r="A617" s="115">
        <v>601</v>
      </c>
      <c r="B617" s="60" t="s">
        <v>195</v>
      </c>
      <c r="C617" s="10" t="str">
        <f>"4/2015-MUP-128"</f>
        <v>4/2015-MUP-128</v>
      </c>
      <c r="D617" s="56">
        <v>42407</v>
      </c>
      <c r="E617" s="56">
        <v>42773</v>
      </c>
      <c r="F617" s="8">
        <v>2018.45</v>
      </c>
      <c r="G617" s="8">
        <v>2018.45</v>
      </c>
      <c r="H617" s="56">
        <v>42825</v>
      </c>
      <c r="I617" s="24">
        <v>2018.45</v>
      </c>
      <c r="J617" s="77"/>
    </row>
    <row r="618" spans="1:11" ht="24" x14ac:dyDescent="0.25">
      <c r="A618" s="115">
        <v>602</v>
      </c>
      <c r="B618" s="60" t="s">
        <v>195</v>
      </c>
      <c r="C618" s="10" t="str">
        <f>"4/2015-MUP-127"</f>
        <v>4/2015-MUP-127</v>
      </c>
      <c r="D618" s="56">
        <v>42405</v>
      </c>
      <c r="E618" s="56">
        <v>42771</v>
      </c>
      <c r="F618" s="8">
        <v>8833.58</v>
      </c>
      <c r="G618" s="8">
        <v>8833.58</v>
      </c>
      <c r="H618" s="56">
        <v>42825</v>
      </c>
      <c r="I618" s="24">
        <v>8833.58</v>
      </c>
      <c r="J618" s="77"/>
    </row>
    <row r="619" spans="1:11" ht="24" x14ac:dyDescent="0.25">
      <c r="A619" s="115">
        <v>603</v>
      </c>
      <c r="B619" s="60" t="s">
        <v>195</v>
      </c>
      <c r="C619" s="10" t="str">
        <f>"4/2015-MUP-126"</f>
        <v>4/2015-MUP-126</v>
      </c>
      <c r="D619" s="56">
        <v>42404</v>
      </c>
      <c r="E619" s="56">
        <v>42770</v>
      </c>
      <c r="F619" s="8">
        <v>321.51</v>
      </c>
      <c r="G619" s="8">
        <v>321.51</v>
      </c>
      <c r="H619" s="56">
        <v>42825</v>
      </c>
      <c r="I619" s="24">
        <v>321.51</v>
      </c>
      <c r="J619" s="77"/>
      <c r="K619" s="48"/>
    </row>
    <row r="620" spans="1:11" ht="24" x14ac:dyDescent="0.25">
      <c r="A620" s="115">
        <v>604</v>
      </c>
      <c r="B620" s="60" t="s">
        <v>195</v>
      </c>
      <c r="C620" s="10" t="str">
        <f>"4/2015-MUP-152"</f>
        <v>4/2015-MUP-152</v>
      </c>
      <c r="D620" s="56">
        <v>42404</v>
      </c>
      <c r="E620" s="56">
        <v>42770</v>
      </c>
      <c r="F620" s="8">
        <v>21304.73</v>
      </c>
      <c r="G620" s="8">
        <v>21304.73</v>
      </c>
      <c r="H620" s="56">
        <v>42825</v>
      </c>
      <c r="I620" s="24">
        <v>21304.73</v>
      </c>
      <c r="J620" s="77"/>
    </row>
    <row r="621" spans="1:11" ht="24" x14ac:dyDescent="0.25">
      <c r="A621" s="115">
        <v>605</v>
      </c>
      <c r="B621" s="60" t="s">
        <v>210</v>
      </c>
      <c r="C621" s="10" t="str">
        <f>"4/2015-MFINPU-29"</f>
        <v>4/2015-MFINPU-29</v>
      </c>
      <c r="D621" s="56">
        <v>42404</v>
      </c>
      <c r="E621" s="56">
        <v>42770</v>
      </c>
      <c r="F621" s="8">
        <v>392.86</v>
      </c>
      <c r="G621" s="8">
        <v>392.86</v>
      </c>
      <c r="H621" s="56">
        <v>42770</v>
      </c>
      <c r="I621" s="24">
        <v>392.86</v>
      </c>
      <c r="J621" s="77"/>
    </row>
    <row r="622" spans="1:11" ht="24" x14ac:dyDescent="0.25">
      <c r="A622" s="115">
        <v>606</v>
      </c>
      <c r="B622" s="60" t="s">
        <v>195</v>
      </c>
      <c r="C622" s="10" t="str">
        <f>"4/2015-MUP-125"</f>
        <v>4/2015-MUP-125</v>
      </c>
      <c r="D622" s="56">
        <v>42403</v>
      </c>
      <c r="E622" s="56">
        <v>42769</v>
      </c>
      <c r="F622" s="8">
        <v>1625.02</v>
      </c>
      <c r="G622" s="8">
        <v>1625.02</v>
      </c>
      <c r="H622" s="56">
        <v>42825</v>
      </c>
      <c r="I622" s="24">
        <v>1625.02</v>
      </c>
      <c r="J622" s="77"/>
      <c r="K622" s="48"/>
    </row>
    <row r="623" spans="1:11" ht="24" x14ac:dyDescent="0.25">
      <c r="A623" s="115">
        <v>607</v>
      </c>
      <c r="B623" s="60" t="s">
        <v>195</v>
      </c>
      <c r="C623" s="10" t="str">
        <f>"4/2015-MUP-124"</f>
        <v>4/2015-MUP-124</v>
      </c>
      <c r="D623" s="56">
        <v>42402</v>
      </c>
      <c r="E623" s="56">
        <v>42768</v>
      </c>
      <c r="F623" s="8">
        <v>520.39</v>
      </c>
      <c r="G623" s="8">
        <v>520.39</v>
      </c>
      <c r="H623" s="56">
        <v>42825</v>
      </c>
      <c r="I623" s="24">
        <v>520.39</v>
      </c>
      <c r="J623" s="77"/>
    </row>
    <row r="624" spans="1:11" x14ac:dyDescent="0.25">
      <c r="A624" s="115">
        <v>608</v>
      </c>
      <c r="B624" s="60" t="s">
        <v>186</v>
      </c>
      <c r="C624" s="10" t="str">
        <f>"017000010924"</f>
        <v>017000010924</v>
      </c>
      <c r="D624" s="56">
        <v>42402</v>
      </c>
      <c r="E624" s="56">
        <v>42768</v>
      </c>
      <c r="F624" s="8">
        <v>152.09</v>
      </c>
      <c r="G624" s="8">
        <v>174.9</v>
      </c>
      <c r="H624" s="56">
        <v>42551</v>
      </c>
      <c r="I624" s="24">
        <v>152.09</v>
      </c>
      <c r="J624" s="77"/>
    </row>
    <row r="625" spans="1:11" ht="24" x14ac:dyDescent="0.25">
      <c r="A625" s="115">
        <v>609</v>
      </c>
      <c r="B625" s="60" t="s">
        <v>195</v>
      </c>
      <c r="C625" s="10" t="str">
        <f>"4/2015-MUP-123"</f>
        <v>4/2015-MUP-123</v>
      </c>
      <c r="D625" s="56">
        <v>42401</v>
      </c>
      <c r="E625" s="56">
        <v>42767</v>
      </c>
      <c r="F625" s="8">
        <v>422.16</v>
      </c>
      <c r="G625" s="8">
        <v>422.16</v>
      </c>
      <c r="H625" s="56">
        <v>42825</v>
      </c>
      <c r="I625" s="24">
        <v>422.16</v>
      </c>
      <c r="J625" s="77"/>
      <c r="K625" s="48"/>
    </row>
    <row r="626" spans="1:11" ht="24" x14ac:dyDescent="0.25">
      <c r="A626" s="115">
        <v>610</v>
      </c>
      <c r="B626" s="60" t="s">
        <v>210</v>
      </c>
      <c r="C626" s="10" t="str">
        <f>"4/2015-MFINPU-15"</f>
        <v>4/2015-MFINPU-15</v>
      </c>
      <c r="D626" s="56">
        <v>42400</v>
      </c>
      <c r="E626" s="56">
        <v>42766</v>
      </c>
      <c r="F626" s="8">
        <v>280.5</v>
      </c>
      <c r="G626" s="8">
        <v>280.5</v>
      </c>
      <c r="H626" s="56">
        <v>42766</v>
      </c>
      <c r="I626" s="24">
        <v>280.5</v>
      </c>
      <c r="J626" s="77"/>
    </row>
    <row r="627" spans="1:11" ht="24" x14ac:dyDescent="0.25">
      <c r="A627" s="115">
        <v>611</v>
      </c>
      <c r="B627" s="60" t="s">
        <v>195</v>
      </c>
      <c r="C627" s="10" t="str">
        <f>"4/2015-MUP-122"</f>
        <v>4/2015-MUP-122</v>
      </c>
      <c r="D627" s="56">
        <v>42400</v>
      </c>
      <c r="E627" s="56">
        <v>42766</v>
      </c>
      <c r="F627" s="8">
        <v>211.54</v>
      </c>
      <c r="G627" s="8">
        <v>211.54</v>
      </c>
      <c r="H627" s="56">
        <v>42825</v>
      </c>
      <c r="I627" s="24">
        <v>211.54</v>
      </c>
      <c r="J627" s="77"/>
    </row>
    <row r="628" spans="1:11" ht="24" x14ac:dyDescent="0.25">
      <c r="A628" s="115">
        <v>612</v>
      </c>
      <c r="B628" s="60" t="s">
        <v>210</v>
      </c>
      <c r="C628" s="10" t="str">
        <f>"4/2015-MFINPU-30"</f>
        <v>4/2015-MFINPU-30</v>
      </c>
      <c r="D628" s="56">
        <v>42399</v>
      </c>
      <c r="E628" s="56">
        <v>42765</v>
      </c>
      <c r="F628" s="8">
        <v>147.87</v>
      </c>
      <c r="G628" s="8">
        <v>147.87</v>
      </c>
      <c r="H628" s="56">
        <v>42765</v>
      </c>
      <c r="I628" s="24">
        <v>147.87</v>
      </c>
      <c r="J628" s="77"/>
      <c r="K628" s="48"/>
    </row>
    <row r="629" spans="1:11" ht="24" x14ac:dyDescent="0.25">
      <c r="A629" s="115">
        <v>613</v>
      </c>
      <c r="B629" s="60" t="s">
        <v>195</v>
      </c>
      <c r="C629" s="10" t="str">
        <f>"4/2015-MUP-121"</f>
        <v>4/2015-MUP-121</v>
      </c>
      <c r="D629" s="56">
        <v>42399</v>
      </c>
      <c r="E629" s="56">
        <v>42765</v>
      </c>
      <c r="F629" s="8">
        <v>2931.16</v>
      </c>
      <c r="G629" s="8">
        <v>2931.16</v>
      </c>
      <c r="H629" s="56">
        <v>42825</v>
      </c>
      <c r="I629" s="24">
        <v>2931.16</v>
      </c>
      <c r="J629" s="77"/>
    </row>
    <row r="630" spans="1:11" ht="24" x14ac:dyDescent="0.25">
      <c r="A630" s="115">
        <v>614</v>
      </c>
      <c r="B630" s="60" t="s">
        <v>195</v>
      </c>
      <c r="C630" s="10" t="str">
        <f>"4/2015-MUP-120"</f>
        <v>4/2015-MUP-120</v>
      </c>
      <c r="D630" s="56">
        <v>42398</v>
      </c>
      <c r="E630" s="56">
        <v>42764</v>
      </c>
      <c r="F630" s="8">
        <v>148.44</v>
      </c>
      <c r="G630" s="8">
        <v>148.44</v>
      </c>
      <c r="H630" s="56">
        <v>42825</v>
      </c>
      <c r="I630" s="24">
        <v>148.44</v>
      </c>
      <c r="J630" s="77"/>
    </row>
    <row r="631" spans="1:11" ht="24" x14ac:dyDescent="0.25">
      <c r="A631" s="115">
        <v>615</v>
      </c>
      <c r="B631" s="60" t="s">
        <v>195</v>
      </c>
      <c r="C631" s="10" t="str">
        <f>"4/2015-MUP-119"</f>
        <v>4/2015-MUP-119</v>
      </c>
      <c r="D631" s="56">
        <v>42397</v>
      </c>
      <c r="E631" s="56">
        <v>42763</v>
      </c>
      <c r="F631" s="8">
        <v>758.18</v>
      </c>
      <c r="G631" s="8">
        <v>758.18</v>
      </c>
      <c r="H631" s="56">
        <v>42825</v>
      </c>
      <c r="I631" s="24">
        <v>758.18</v>
      </c>
      <c r="J631" s="77"/>
      <c r="K631" s="48"/>
    </row>
    <row r="632" spans="1:11" ht="24" x14ac:dyDescent="0.25">
      <c r="A632" s="115">
        <v>616</v>
      </c>
      <c r="B632" s="60" t="s">
        <v>195</v>
      </c>
      <c r="C632" s="10" t="str">
        <f>"4/2015-MUP-118"</f>
        <v>4/2015-MUP-118</v>
      </c>
      <c r="D632" s="56">
        <v>42396</v>
      </c>
      <c r="E632" s="56">
        <v>42762</v>
      </c>
      <c r="F632" s="8">
        <v>966.74</v>
      </c>
      <c r="G632" s="8">
        <v>966.74</v>
      </c>
      <c r="H632" s="56">
        <v>42825</v>
      </c>
      <c r="I632" s="24">
        <v>966.74</v>
      </c>
      <c r="J632" s="77"/>
    </row>
    <row r="633" spans="1:11" ht="24" x14ac:dyDescent="0.25">
      <c r="A633" s="115">
        <v>617</v>
      </c>
      <c r="B633" s="60" t="s">
        <v>210</v>
      </c>
      <c r="C633" s="10" t="str">
        <f>"4/2015-MFINPU-19"</f>
        <v>4/2015-MFINPU-19</v>
      </c>
      <c r="D633" s="56">
        <v>42395</v>
      </c>
      <c r="E633" s="56">
        <v>42761</v>
      </c>
      <c r="F633" s="8">
        <v>157.81</v>
      </c>
      <c r="G633" s="8">
        <v>157.81</v>
      </c>
      <c r="H633" s="56">
        <v>42761</v>
      </c>
      <c r="I633" s="24">
        <v>157.81</v>
      </c>
      <c r="J633" s="77"/>
    </row>
    <row r="634" spans="1:11" ht="24" x14ac:dyDescent="0.25">
      <c r="A634" s="115">
        <v>618</v>
      </c>
      <c r="B634" s="60" t="s">
        <v>195</v>
      </c>
      <c r="C634" s="10" t="str">
        <f>"4/2015-MUP-117"</f>
        <v>4/2015-MUP-117</v>
      </c>
      <c r="D634" s="56">
        <v>42395</v>
      </c>
      <c r="E634" s="56">
        <v>42761</v>
      </c>
      <c r="F634" s="8">
        <v>173.79</v>
      </c>
      <c r="G634" s="8">
        <v>173.79</v>
      </c>
      <c r="H634" s="56">
        <v>42825</v>
      </c>
      <c r="I634" s="24">
        <v>173.79</v>
      </c>
      <c r="J634" s="77"/>
      <c r="K634" s="48"/>
    </row>
    <row r="635" spans="1:11" ht="24" x14ac:dyDescent="0.25">
      <c r="A635" s="115">
        <v>619</v>
      </c>
      <c r="B635" s="60" t="s">
        <v>195</v>
      </c>
      <c r="C635" s="10" t="str">
        <f>"4/2015-MUP-116"</f>
        <v>4/2015-MUP-116</v>
      </c>
      <c r="D635" s="56">
        <v>42394</v>
      </c>
      <c r="E635" s="56">
        <v>42760</v>
      </c>
      <c r="F635" s="8">
        <v>1741.73</v>
      </c>
      <c r="G635" s="8">
        <v>1741.73</v>
      </c>
      <c r="H635" s="56">
        <v>42825</v>
      </c>
      <c r="I635" s="24">
        <v>1741.73</v>
      </c>
      <c r="J635" s="77"/>
    </row>
    <row r="636" spans="1:11" ht="24" x14ac:dyDescent="0.25">
      <c r="A636" s="115">
        <v>620</v>
      </c>
      <c r="B636" s="60" t="s">
        <v>195</v>
      </c>
      <c r="C636" s="10" t="str">
        <f>"4/2015-MUP-115"</f>
        <v>4/2015-MUP-115</v>
      </c>
      <c r="D636" s="56">
        <v>42393</v>
      </c>
      <c r="E636" s="56">
        <v>42759</v>
      </c>
      <c r="F636" s="8">
        <v>2287.9499999999998</v>
      </c>
      <c r="G636" s="8">
        <v>2287.9499999999998</v>
      </c>
      <c r="H636" s="56">
        <v>42825</v>
      </c>
      <c r="I636" s="24">
        <v>2287.9499999999998</v>
      </c>
      <c r="J636" s="77"/>
    </row>
    <row r="637" spans="1:11" ht="24" x14ac:dyDescent="0.25">
      <c r="A637" s="115">
        <v>621</v>
      </c>
      <c r="B637" s="60" t="s">
        <v>195</v>
      </c>
      <c r="C637" s="10" t="str">
        <f>"4/2015-MUP-114"</f>
        <v>4/2015-MUP-114</v>
      </c>
      <c r="D637" s="56">
        <v>42392</v>
      </c>
      <c r="E637" s="56">
        <v>42758</v>
      </c>
      <c r="F637" s="8">
        <v>178.28</v>
      </c>
      <c r="G637" s="8">
        <v>178.28</v>
      </c>
      <c r="H637" s="56">
        <v>42825</v>
      </c>
      <c r="I637" s="24">
        <v>178.28</v>
      </c>
      <c r="J637" s="77"/>
      <c r="K637" s="48"/>
    </row>
    <row r="638" spans="1:11" ht="24" x14ac:dyDescent="0.25">
      <c r="A638" s="115">
        <v>622</v>
      </c>
      <c r="B638" s="60" t="s">
        <v>195</v>
      </c>
      <c r="C638" s="10" t="str">
        <f>"4/2015-MUP-113"</f>
        <v>4/2015-MUP-113</v>
      </c>
      <c r="D638" s="56">
        <v>42391</v>
      </c>
      <c r="E638" s="56">
        <v>42757</v>
      </c>
      <c r="F638" s="8">
        <v>602.6</v>
      </c>
      <c r="G638" s="8">
        <v>602.6</v>
      </c>
      <c r="H638" s="56">
        <v>42825</v>
      </c>
      <c r="I638" s="24">
        <v>602.6</v>
      </c>
      <c r="J638" s="77"/>
    </row>
    <row r="639" spans="1:11" ht="24" x14ac:dyDescent="0.25">
      <c r="A639" s="115">
        <v>623</v>
      </c>
      <c r="B639" s="60" t="s">
        <v>195</v>
      </c>
      <c r="C639" s="10" t="str">
        <f>"4/2015-MUP-112"</f>
        <v>4/2015-MUP-112</v>
      </c>
      <c r="D639" s="56">
        <v>42390</v>
      </c>
      <c r="E639" s="56">
        <v>42756</v>
      </c>
      <c r="F639" s="8">
        <v>1002.48</v>
      </c>
      <c r="G639" s="8">
        <v>1002.48</v>
      </c>
      <c r="H639" s="56">
        <v>42825</v>
      </c>
      <c r="I639" s="24">
        <v>1002.48</v>
      </c>
      <c r="J639" s="77"/>
    </row>
    <row r="640" spans="1:11" ht="24" x14ac:dyDescent="0.25">
      <c r="A640" s="115">
        <v>624</v>
      </c>
      <c r="B640" s="60" t="s">
        <v>195</v>
      </c>
      <c r="C640" s="10" t="str">
        <f>"4/2015-MUP-111"</f>
        <v>4/2015-MUP-111</v>
      </c>
      <c r="D640" s="56">
        <v>42389</v>
      </c>
      <c r="E640" s="56">
        <v>42755</v>
      </c>
      <c r="F640" s="8">
        <v>514.45000000000005</v>
      </c>
      <c r="G640" s="8">
        <v>514.45000000000005</v>
      </c>
      <c r="H640" s="56">
        <v>42825</v>
      </c>
      <c r="I640" s="24">
        <v>514.45000000000005</v>
      </c>
      <c r="J640" s="77"/>
      <c r="K640" s="48"/>
    </row>
    <row r="641" spans="1:11" x14ac:dyDescent="0.25">
      <c r="A641" s="115">
        <v>625</v>
      </c>
      <c r="B641" s="60" t="s">
        <v>186</v>
      </c>
      <c r="C641" s="10" t="str">
        <f>"017000000163"</f>
        <v>017000000163</v>
      </c>
      <c r="D641" s="56">
        <v>42389</v>
      </c>
      <c r="E641" s="56">
        <v>42755</v>
      </c>
      <c r="F641" s="8">
        <v>167.69</v>
      </c>
      <c r="G641" s="8">
        <v>192.84</v>
      </c>
      <c r="H641" s="56">
        <v>42551</v>
      </c>
      <c r="I641" s="24">
        <v>167.69</v>
      </c>
      <c r="J641" s="77"/>
    </row>
    <row r="642" spans="1:11" x14ac:dyDescent="0.25">
      <c r="A642" s="115">
        <v>626</v>
      </c>
      <c r="B642" s="60" t="s">
        <v>204</v>
      </c>
      <c r="C642" s="10" t="str">
        <f>"017000000597"</f>
        <v>017000000597</v>
      </c>
      <c r="D642" s="56">
        <v>42381</v>
      </c>
      <c r="E642" s="56">
        <v>42755</v>
      </c>
      <c r="F642" s="8">
        <v>257.24</v>
      </c>
      <c r="G642" s="8">
        <v>257.24</v>
      </c>
      <c r="H642" s="56">
        <v>42755</v>
      </c>
      <c r="I642" s="24">
        <v>257.24</v>
      </c>
      <c r="J642" s="77"/>
    </row>
    <row r="643" spans="1:11" x14ac:dyDescent="0.25">
      <c r="A643" s="115">
        <v>627</v>
      </c>
      <c r="B643" s="60" t="s">
        <v>204</v>
      </c>
      <c r="C643" s="10" t="str">
        <f>"004700000008"</f>
        <v>004700000008</v>
      </c>
      <c r="D643" s="56">
        <v>42383</v>
      </c>
      <c r="E643" s="56">
        <v>42755</v>
      </c>
      <c r="F643" s="8">
        <v>1785.11</v>
      </c>
      <c r="G643" s="8">
        <v>1785.11</v>
      </c>
      <c r="H643" s="56">
        <v>42755</v>
      </c>
      <c r="I643" s="24">
        <v>1785.11</v>
      </c>
      <c r="J643" s="77"/>
      <c r="K643" s="48"/>
    </row>
    <row r="644" spans="1:11" ht="24" x14ac:dyDescent="0.25">
      <c r="A644" s="115">
        <v>628</v>
      </c>
      <c r="B644" s="60" t="s">
        <v>195</v>
      </c>
      <c r="C644" s="10" t="str">
        <f>"4/2015-MUP-110"</f>
        <v>4/2015-MUP-110</v>
      </c>
      <c r="D644" s="56">
        <v>42387</v>
      </c>
      <c r="E644" s="56">
        <v>42753</v>
      </c>
      <c r="F644" s="8">
        <v>640.26</v>
      </c>
      <c r="G644" s="8">
        <v>640.26</v>
      </c>
      <c r="H644" s="56">
        <v>42825</v>
      </c>
      <c r="I644" s="24">
        <v>640.26</v>
      </c>
      <c r="J644" s="77"/>
    </row>
    <row r="645" spans="1:11" x14ac:dyDescent="0.25">
      <c r="A645" s="115">
        <v>629</v>
      </c>
      <c r="B645" s="60" t="s">
        <v>186</v>
      </c>
      <c r="C645" s="10" t="str">
        <f>"017000000147"</f>
        <v>017000000147</v>
      </c>
      <c r="D645" s="56">
        <v>42386</v>
      </c>
      <c r="E645" s="56">
        <v>42752</v>
      </c>
      <c r="F645" s="8">
        <v>152.13</v>
      </c>
      <c r="G645" s="8">
        <v>174.95</v>
      </c>
      <c r="H645" s="56">
        <v>42551</v>
      </c>
      <c r="I645" s="24">
        <v>152.13</v>
      </c>
      <c r="J645" s="77"/>
    </row>
    <row r="646" spans="1:11" ht="24" x14ac:dyDescent="0.25">
      <c r="A646" s="115">
        <v>630</v>
      </c>
      <c r="B646" s="60" t="s">
        <v>195</v>
      </c>
      <c r="C646" s="10" t="str">
        <f>"4/2015-MUP-109"</f>
        <v>4/2015-MUP-109</v>
      </c>
      <c r="D646" s="56">
        <v>42386</v>
      </c>
      <c r="E646" s="56">
        <v>42752</v>
      </c>
      <c r="F646" s="8">
        <v>173.79</v>
      </c>
      <c r="G646" s="8">
        <v>173.79</v>
      </c>
      <c r="H646" s="56">
        <v>42825</v>
      </c>
      <c r="I646" s="24">
        <v>173.79</v>
      </c>
      <c r="J646" s="77"/>
      <c r="K646" s="48"/>
    </row>
    <row r="647" spans="1:11" ht="24" x14ac:dyDescent="0.25">
      <c r="A647" s="115">
        <v>631</v>
      </c>
      <c r="B647" s="60" t="s">
        <v>195</v>
      </c>
      <c r="C647" s="10" t="str">
        <f>"4/2015-MUP-108"</f>
        <v>4/2015-MUP-108</v>
      </c>
      <c r="D647" s="56">
        <v>42385</v>
      </c>
      <c r="E647" s="56">
        <v>42751</v>
      </c>
      <c r="F647" s="8">
        <v>508.11</v>
      </c>
      <c r="G647" s="8">
        <v>508.11</v>
      </c>
      <c r="H647" s="56">
        <v>42825</v>
      </c>
      <c r="I647" s="24">
        <v>508.11</v>
      </c>
      <c r="J647" s="77"/>
    </row>
    <row r="648" spans="1:11" ht="24" x14ac:dyDescent="0.25">
      <c r="A648" s="115">
        <v>632</v>
      </c>
      <c r="B648" s="60" t="s">
        <v>195</v>
      </c>
      <c r="C648" s="10" t="str">
        <f>"4/2015-MUP-107"</f>
        <v>4/2015-MUP-107</v>
      </c>
      <c r="D648" s="56">
        <v>42384</v>
      </c>
      <c r="E648" s="56">
        <v>42750</v>
      </c>
      <c r="F648" s="8">
        <v>157.63</v>
      </c>
      <c r="G648" s="8">
        <v>157.63</v>
      </c>
      <c r="H648" s="56">
        <v>42825</v>
      </c>
      <c r="I648" s="24">
        <v>157.63</v>
      </c>
      <c r="J648" s="77"/>
    </row>
    <row r="649" spans="1:11" x14ac:dyDescent="0.25">
      <c r="A649" s="115">
        <v>633</v>
      </c>
      <c r="B649" s="60" t="s">
        <v>186</v>
      </c>
      <c r="C649" s="10" t="str">
        <f>"017000000899"</f>
        <v>017000000899</v>
      </c>
      <c r="D649" s="56">
        <v>42383</v>
      </c>
      <c r="E649" s="56">
        <v>42749</v>
      </c>
      <c r="F649" s="8">
        <v>218</v>
      </c>
      <c r="G649" s="8">
        <v>250.7</v>
      </c>
      <c r="H649" s="56">
        <v>42551</v>
      </c>
      <c r="I649" s="24">
        <v>218</v>
      </c>
      <c r="J649" s="77"/>
      <c r="K649" s="48"/>
    </row>
    <row r="650" spans="1:11" x14ac:dyDescent="0.25">
      <c r="A650" s="115">
        <v>634</v>
      </c>
      <c r="B650" s="60" t="s">
        <v>186</v>
      </c>
      <c r="C650" s="10" t="str">
        <f>"017000000872"</f>
        <v>017000000872</v>
      </c>
      <c r="D650" s="56">
        <v>42382</v>
      </c>
      <c r="E650" s="56">
        <v>42748</v>
      </c>
      <c r="F650" s="8">
        <v>201.6</v>
      </c>
      <c r="G650" s="8">
        <v>231.84</v>
      </c>
      <c r="H650" s="56">
        <v>42551</v>
      </c>
      <c r="I650" s="24">
        <v>201.6</v>
      </c>
      <c r="J650" s="77"/>
    </row>
    <row r="651" spans="1:11" ht="24" x14ac:dyDescent="0.25">
      <c r="A651" s="115">
        <v>635</v>
      </c>
      <c r="B651" s="60" t="s">
        <v>195</v>
      </c>
      <c r="C651" s="10" t="str">
        <f>"4/2015-MUP-106"</f>
        <v>4/2015-MUP-106</v>
      </c>
      <c r="D651" s="56">
        <v>42382</v>
      </c>
      <c r="E651" s="56">
        <v>42748</v>
      </c>
      <c r="F651" s="8">
        <v>274.27999999999997</v>
      </c>
      <c r="G651" s="8">
        <v>274.27999999999997</v>
      </c>
      <c r="H651" s="56">
        <v>42825</v>
      </c>
      <c r="I651" s="24">
        <v>274.27999999999997</v>
      </c>
      <c r="J651" s="77"/>
    </row>
    <row r="652" spans="1:11" ht="24" x14ac:dyDescent="0.25">
      <c r="A652" s="115">
        <v>636</v>
      </c>
      <c r="B652" s="60" t="s">
        <v>195</v>
      </c>
      <c r="C652" s="10" t="str">
        <f>"4/2015-MUP-105"</f>
        <v>4/2015-MUP-105</v>
      </c>
      <c r="D652" s="56">
        <v>42381</v>
      </c>
      <c r="E652" s="56">
        <v>42747</v>
      </c>
      <c r="F652" s="8">
        <v>443.38</v>
      </c>
      <c r="G652" s="8">
        <v>443.38</v>
      </c>
      <c r="H652" s="56">
        <v>42825</v>
      </c>
      <c r="I652" s="24">
        <v>443.38</v>
      </c>
      <c r="J652" s="77"/>
      <c r="K652" s="48"/>
    </row>
    <row r="653" spans="1:11" x14ac:dyDescent="0.25">
      <c r="A653" s="115">
        <v>637</v>
      </c>
      <c r="B653" s="60" t="s">
        <v>186</v>
      </c>
      <c r="C653" s="10" t="str">
        <f>"017000000902"</f>
        <v>017000000902</v>
      </c>
      <c r="D653" s="56">
        <v>42381</v>
      </c>
      <c r="E653" s="56">
        <v>42747</v>
      </c>
      <c r="F653" s="8">
        <v>167.79</v>
      </c>
      <c r="G653" s="8">
        <v>192.94</v>
      </c>
      <c r="H653" s="56">
        <v>42551</v>
      </c>
      <c r="I653" s="24">
        <v>167.69</v>
      </c>
      <c r="J653" s="77"/>
    </row>
    <row r="654" spans="1:11" ht="24" x14ac:dyDescent="0.25">
      <c r="A654" s="115">
        <v>638</v>
      </c>
      <c r="B654" s="60" t="s">
        <v>195</v>
      </c>
      <c r="C654" s="10" t="str">
        <f>"4/2015-MUP-104"</f>
        <v>4/2015-MUP-104</v>
      </c>
      <c r="D654" s="56">
        <v>42380</v>
      </c>
      <c r="E654" s="56">
        <v>42746</v>
      </c>
      <c r="F654" s="8">
        <v>267.69</v>
      </c>
      <c r="G654" s="8">
        <v>267.69</v>
      </c>
      <c r="H654" s="56">
        <v>42825</v>
      </c>
      <c r="I654" s="24">
        <v>267.69</v>
      </c>
      <c r="J654" s="77"/>
    </row>
    <row r="655" spans="1:11" ht="24" x14ac:dyDescent="0.25">
      <c r="A655" s="115">
        <v>639</v>
      </c>
      <c r="B655" s="60" t="s">
        <v>195</v>
      </c>
      <c r="C655" s="10" t="str">
        <f>"4/2015-MUP-103"</f>
        <v>4/2015-MUP-103</v>
      </c>
      <c r="D655" s="56">
        <v>42379</v>
      </c>
      <c r="E655" s="56">
        <v>42745</v>
      </c>
      <c r="F655" s="8">
        <v>548.38</v>
      </c>
      <c r="G655" s="8">
        <v>548.38</v>
      </c>
      <c r="H655" s="56">
        <v>42825</v>
      </c>
      <c r="I655" s="24">
        <v>548.38</v>
      </c>
      <c r="J655" s="77"/>
      <c r="K655" s="48"/>
    </row>
    <row r="656" spans="1:11" ht="24" x14ac:dyDescent="0.25">
      <c r="A656" s="115">
        <v>640</v>
      </c>
      <c r="B656" s="60" t="s">
        <v>195</v>
      </c>
      <c r="C656" s="10" t="str">
        <f>"4/2015-MUP-102"</f>
        <v>4/2015-MUP-102</v>
      </c>
      <c r="D656" s="56">
        <v>42378</v>
      </c>
      <c r="E656" s="56">
        <v>42744</v>
      </c>
      <c r="F656" s="8">
        <v>347.58</v>
      </c>
      <c r="G656" s="8">
        <v>347.58</v>
      </c>
      <c r="H656" s="56">
        <v>42825</v>
      </c>
      <c r="I656" s="24">
        <v>347.58</v>
      </c>
      <c r="J656" s="77"/>
    </row>
    <row r="657" spans="1:16" ht="24" x14ac:dyDescent="0.25">
      <c r="A657" s="115">
        <v>641</v>
      </c>
      <c r="B657" s="60" t="s">
        <v>195</v>
      </c>
      <c r="C657" s="10" t="str">
        <f>"4/2015-MUP-101"</f>
        <v>4/2015-MUP-101</v>
      </c>
      <c r="D657" s="56">
        <v>42377</v>
      </c>
      <c r="E657" s="56">
        <v>42743</v>
      </c>
      <c r="F657" s="8">
        <v>532.08000000000004</v>
      </c>
      <c r="G657" s="8">
        <v>532.08000000000004</v>
      </c>
      <c r="H657" s="56">
        <v>42825</v>
      </c>
      <c r="I657" s="24">
        <v>532.08000000000004</v>
      </c>
      <c r="J657" s="77"/>
    </row>
    <row r="658" spans="1:16" ht="24" x14ac:dyDescent="0.25">
      <c r="A658" s="115">
        <v>642</v>
      </c>
      <c r="B658" s="60" t="s">
        <v>195</v>
      </c>
      <c r="C658" s="10" t="str">
        <f>"4/2015-MUP-100"</f>
        <v>4/2015-MUP-100</v>
      </c>
      <c r="D658" s="56">
        <v>42376</v>
      </c>
      <c r="E658" s="56">
        <v>42742</v>
      </c>
      <c r="F658" s="8">
        <v>656.29</v>
      </c>
      <c r="G658" s="8">
        <v>656.29</v>
      </c>
      <c r="H658" s="56">
        <v>42825</v>
      </c>
      <c r="I658" s="24">
        <v>656.29</v>
      </c>
      <c r="J658" s="77"/>
      <c r="K658" s="48"/>
    </row>
    <row r="659" spans="1:16" ht="24" x14ac:dyDescent="0.25">
      <c r="A659" s="115">
        <v>643</v>
      </c>
      <c r="B659" s="60" t="s">
        <v>195</v>
      </c>
      <c r="C659" s="10" t="str">
        <f>"4/2015-MUP-99"</f>
        <v>4/2015-MUP-99</v>
      </c>
      <c r="D659" s="56">
        <v>42374</v>
      </c>
      <c r="E659" s="56">
        <v>42740</v>
      </c>
      <c r="F659" s="8">
        <v>855.21</v>
      </c>
      <c r="G659" s="8">
        <v>855.21</v>
      </c>
      <c r="H659" s="56">
        <v>42825</v>
      </c>
      <c r="I659" s="24">
        <v>855.21</v>
      </c>
      <c r="J659" s="77"/>
    </row>
    <row r="660" spans="1:16" ht="24" x14ac:dyDescent="0.25">
      <c r="A660" s="115">
        <v>644</v>
      </c>
      <c r="B660" s="60" t="s">
        <v>195</v>
      </c>
      <c r="C660" s="10" t="str">
        <f>"4/2015-MUP-98"</f>
        <v>4/2015-MUP-98</v>
      </c>
      <c r="D660" s="56">
        <v>42373</v>
      </c>
      <c r="E660" s="56">
        <v>42739</v>
      </c>
      <c r="F660" s="8">
        <v>740.34</v>
      </c>
      <c r="G660" s="8">
        <v>740.34</v>
      </c>
      <c r="H660" s="56">
        <v>42825</v>
      </c>
      <c r="I660" s="24">
        <v>740.34</v>
      </c>
      <c r="J660" s="77"/>
    </row>
    <row r="661" spans="1:16" ht="24" x14ac:dyDescent="0.25">
      <c r="A661" s="115">
        <v>645</v>
      </c>
      <c r="B661" s="60" t="s">
        <v>195</v>
      </c>
      <c r="C661" s="10" t="str">
        <f>"4/2015-MUP-97"</f>
        <v>4/2015-MUP-97</v>
      </c>
      <c r="D661" s="56">
        <v>42372</v>
      </c>
      <c r="E661" s="56">
        <v>42738</v>
      </c>
      <c r="F661" s="8">
        <v>709.66</v>
      </c>
      <c r="G661" s="8">
        <v>709.66</v>
      </c>
      <c r="H661" s="56">
        <v>42825</v>
      </c>
      <c r="I661" s="24">
        <v>709.66</v>
      </c>
      <c r="J661" s="77"/>
      <c r="K661" s="48"/>
    </row>
    <row r="662" spans="1:16" ht="24" x14ac:dyDescent="0.25">
      <c r="A662" s="115">
        <v>646</v>
      </c>
      <c r="B662" s="60" t="s">
        <v>195</v>
      </c>
      <c r="C662" s="10" t="str">
        <f>"4/2015-MUP-96"</f>
        <v>4/2015-MUP-96</v>
      </c>
      <c r="D662" s="56">
        <v>42371</v>
      </c>
      <c r="E662" s="56">
        <v>42737</v>
      </c>
      <c r="F662" s="8">
        <v>278.89</v>
      </c>
      <c r="G662" s="8">
        <v>278.89</v>
      </c>
      <c r="H662" s="56">
        <v>42825</v>
      </c>
      <c r="I662" s="24">
        <v>278.89</v>
      </c>
      <c r="J662" s="77"/>
    </row>
    <row r="663" spans="1:16" ht="24" x14ac:dyDescent="0.25">
      <c r="A663" s="115">
        <v>647</v>
      </c>
      <c r="B663" s="60" t="s">
        <v>206</v>
      </c>
      <c r="C663" s="10" t="str">
        <f>"OSIGURANJE"</f>
        <v>OSIGURANJE</v>
      </c>
      <c r="D663" s="56">
        <v>42267</v>
      </c>
      <c r="E663" s="56">
        <v>42997</v>
      </c>
      <c r="F663" s="8">
        <v>80000</v>
      </c>
      <c r="G663" s="8">
        <v>100000</v>
      </c>
      <c r="H663" s="56">
        <v>42825</v>
      </c>
      <c r="I663" s="24">
        <v>68631.23</v>
      </c>
      <c r="J663" s="77"/>
    </row>
    <row r="664" spans="1:16" ht="36" x14ac:dyDescent="0.25">
      <c r="A664" s="115">
        <v>648</v>
      </c>
      <c r="B664" s="60" t="s">
        <v>185</v>
      </c>
      <c r="C664" s="10" t="str">
        <f>"4/2015 - POLICE OSIGURANJA"</f>
        <v>4/2015 - POLICE OSIGURANJA</v>
      </c>
      <c r="D664" s="56">
        <v>42267</v>
      </c>
      <c r="E664" s="56">
        <v>42997</v>
      </c>
      <c r="F664" s="8">
        <v>0</v>
      </c>
      <c r="G664" s="8">
        <v>0</v>
      </c>
      <c r="H664" s="56">
        <v>43008</v>
      </c>
      <c r="I664" s="24">
        <v>143779.28</v>
      </c>
      <c r="J664" s="77"/>
      <c r="K664" s="48"/>
    </row>
    <row r="665" spans="1:16" ht="24" x14ac:dyDescent="0.25">
      <c r="A665" s="115">
        <v>649</v>
      </c>
      <c r="B665" s="60" t="s">
        <v>199</v>
      </c>
      <c r="C665" s="10" t="str">
        <f>"4/2015-MB"</f>
        <v>4/2015-MB</v>
      </c>
      <c r="D665" s="56">
        <v>42247</v>
      </c>
      <c r="E665" s="56">
        <v>42974</v>
      </c>
      <c r="F665" s="8">
        <v>0</v>
      </c>
      <c r="G665" s="8">
        <v>0</v>
      </c>
      <c r="H665" s="56">
        <v>43008</v>
      </c>
      <c r="I665" s="24">
        <v>20833</v>
      </c>
      <c r="J665" s="77"/>
    </row>
    <row r="666" spans="1:16" x14ac:dyDescent="0.25">
      <c r="A666" s="115">
        <v>650</v>
      </c>
      <c r="B666" s="60" t="s">
        <v>18</v>
      </c>
      <c r="C666" s="10" t="str">
        <f>"MORH-4/2015"</f>
        <v>MORH-4/2015</v>
      </c>
      <c r="D666" s="56">
        <v>42247</v>
      </c>
      <c r="E666" s="56">
        <v>42974</v>
      </c>
      <c r="F666" s="8">
        <v>412279.46</v>
      </c>
      <c r="G666" s="8">
        <v>515349.33</v>
      </c>
      <c r="H666" s="56">
        <v>43100</v>
      </c>
      <c r="I666" s="24">
        <v>164655.04000000001</v>
      </c>
      <c r="J666" s="77"/>
    </row>
    <row r="667" spans="1:16" ht="24" x14ac:dyDescent="0.25">
      <c r="A667" s="115">
        <v>651</v>
      </c>
      <c r="B667" s="60" t="s">
        <v>186</v>
      </c>
      <c r="C667" s="10" t="str">
        <f>"004700000321-KASKO"</f>
        <v>004700000321-KASKO</v>
      </c>
      <c r="D667" s="56">
        <v>42637</v>
      </c>
      <c r="E667" s="56">
        <v>43002</v>
      </c>
      <c r="F667" s="8">
        <v>1945.09</v>
      </c>
      <c r="G667" s="8">
        <v>2139.6</v>
      </c>
      <c r="H667" s="56">
        <v>42882</v>
      </c>
      <c r="I667" s="24">
        <v>1945.09</v>
      </c>
      <c r="J667" s="77"/>
      <c r="K667" s="48"/>
    </row>
    <row r="668" spans="1:16" ht="7.5" customHeight="1" x14ac:dyDescent="0.25">
      <c r="A668" s="25"/>
      <c r="B668" s="28"/>
      <c r="C668" s="29"/>
      <c r="D668" s="29"/>
      <c r="E668" s="30"/>
      <c r="F668" s="30"/>
      <c r="G668" s="21"/>
      <c r="H668" s="30"/>
      <c r="I668" s="21"/>
      <c r="J668" s="21"/>
      <c r="K668" s="31"/>
      <c r="L668" s="20"/>
      <c r="M668" s="20"/>
      <c r="N668" s="20"/>
      <c r="O668" s="20"/>
      <c r="P668" s="20"/>
    </row>
    <row r="669" spans="1:16" x14ac:dyDescent="0.25">
      <c r="A669" s="175" t="s">
        <v>43</v>
      </c>
      <c r="B669" s="175"/>
      <c r="C669" s="175"/>
      <c r="D669" s="175"/>
      <c r="E669" s="175"/>
      <c r="F669" s="175"/>
      <c r="G669" s="175"/>
      <c r="H669" s="175"/>
      <c r="I669" s="175"/>
      <c r="J669" s="175"/>
      <c r="K669" s="175"/>
      <c r="L669" s="175"/>
      <c r="M669" s="175"/>
      <c r="N669" s="175"/>
    </row>
    <row r="670" spans="1:16" ht="36" x14ac:dyDescent="0.25">
      <c r="A670" s="53" t="s">
        <v>0</v>
      </c>
      <c r="B670" s="54" t="s">
        <v>1</v>
      </c>
      <c r="C670" s="54" t="s">
        <v>3</v>
      </c>
      <c r="D670" s="178" t="s">
        <v>171</v>
      </c>
      <c r="E670" s="178"/>
      <c r="F670" s="54" t="s">
        <v>166</v>
      </c>
      <c r="G670" s="54" t="s">
        <v>170</v>
      </c>
      <c r="H670" s="54" t="s">
        <v>167</v>
      </c>
      <c r="I670" s="54" t="s">
        <v>4</v>
      </c>
      <c r="J670" s="54" t="s">
        <v>5</v>
      </c>
      <c r="K670" s="54" t="s">
        <v>2</v>
      </c>
      <c r="L670" s="54" t="s">
        <v>172</v>
      </c>
      <c r="M670" s="54" t="s">
        <v>173</v>
      </c>
      <c r="N670" s="54" t="s">
        <v>169</v>
      </c>
    </row>
    <row r="671" spans="1:16" ht="36" x14ac:dyDescent="0.25">
      <c r="A671" s="1">
        <v>1</v>
      </c>
      <c r="B671" s="33" t="s">
        <v>63</v>
      </c>
      <c r="C671" s="34" t="s">
        <v>137</v>
      </c>
      <c r="D671" s="192" t="s">
        <v>1043</v>
      </c>
      <c r="E671" s="192"/>
      <c r="F671" s="32" t="s">
        <v>150</v>
      </c>
      <c r="G671" s="38" t="s">
        <v>1010</v>
      </c>
      <c r="H671" s="32" t="s">
        <v>15</v>
      </c>
      <c r="I671" s="35">
        <v>43021</v>
      </c>
      <c r="J671" s="32" t="s">
        <v>51</v>
      </c>
      <c r="K671" s="36">
        <v>3816911.04</v>
      </c>
      <c r="L671" s="96">
        <v>0</v>
      </c>
      <c r="M671" s="96">
        <v>3816911.04</v>
      </c>
      <c r="N671" s="176"/>
    </row>
    <row r="672" spans="1:16" ht="15" customHeight="1" x14ac:dyDescent="0.25">
      <c r="A672" s="177" t="s">
        <v>1012</v>
      </c>
      <c r="B672" s="177"/>
      <c r="C672" s="177"/>
      <c r="D672" s="177"/>
      <c r="E672" s="177"/>
      <c r="F672" s="177"/>
      <c r="G672" s="177"/>
      <c r="H672" s="177"/>
      <c r="I672" s="177"/>
      <c r="J672" s="177"/>
      <c r="K672" s="177"/>
      <c r="L672" s="177"/>
      <c r="M672" s="96">
        <v>317628.17</v>
      </c>
      <c r="N672" s="176"/>
    </row>
    <row r="673" spans="1:13" ht="7.5" customHeight="1" x14ac:dyDescent="0.25">
      <c r="L673" s="47"/>
    </row>
    <row r="674" spans="1:13" ht="15" customHeight="1" x14ac:dyDescent="0.25">
      <c r="A674" s="175" t="s">
        <v>12</v>
      </c>
      <c r="B674" s="175"/>
      <c r="C674" s="175"/>
      <c r="D674" s="175"/>
      <c r="E674" s="175"/>
      <c r="F674" s="175"/>
      <c r="G674" s="175"/>
      <c r="H674" s="175"/>
      <c r="I674" s="175"/>
      <c r="J674" s="175"/>
      <c r="K674" s="49"/>
      <c r="L674" s="49"/>
    </row>
    <row r="675" spans="1:13" ht="48" customHeight="1" x14ac:dyDescent="0.25">
      <c r="A675" s="2" t="s">
        <v>0</v>
      </c>
      <c r="B675" s="3" t="s">
        <v>7</v>
      </c>
      <c r="C675" s="3" t="s">
        <v>6</v>
      </c>
      <c r="D675" s="3" t="s">
        <v>8</v>
      </c>
      <c r="E675" s="3" t="s">
        <v>168</v>
      </c>
      <c r="F675" s="3" t="s">
        <v>174</v>
      </c>
      <c r="G675" s="3" t="s">
        <v>175</v>
      </c>
      <c r="H675" s="3" t="s">
        <v>9</v>
      </c>
      <c r="I675" s="3" t="s">
        <v>176</v>
      </c>
      <c r="J675" s="3" t="s">
        <v>10</v>
      </c>
      <c r="K675" s="48"/>
      <c r="L675" s="48"/>
      <c r="M675" s="48"/>
    </row>
    <row r="676" spans="1:13" ht="24" x14ac:dyDescent="0.25">
      <c r="A676" s="38">
        <v>1</v>
      </c>
      <c r="B676" s="10" t="s">
        <v>195</v>
      </c>
      <c r="C676" s="10" t="str">
        <f>"7/2017-1-MUP-3"</f>
        <v>7/2017-1-MUP-3</v>
      </c>
      <c r="D676" s="56">
        <v>43100</v>
      </c>
      <c r="E676" s="56">
        <v>43465</v>
      </c>
      <c r="F676" s="70">
        <v>159671.18</v>
      </c>
      <c r="G676" s="70">
        <v>159671.18</v>
      </c>
      <c r="H676" s="56">
        <v>43100</v>
      </c>
      <c r="I676" s="24">
        <v>159671.18</v>
      </c>
      <c r="J676" s="77"/>
    </row>
    <row r="677" spans="1:13" ht="24" x14ac:dyDescent="0.25">
      <c r="A677" s="115">
        <v>2</v>
      </c>
      <c r="B677" s="10" t="s">
        <v>17</v>
      </c>
      <c r="C677" s="10" t="str">
        <f>"POL 017000651890"</f>
        <v>POL 017000651890</v>
      </c>
      <c r="D677" s="56">
        <v>43087</v>
      </c>
      <c r="E677" s="56">
        <v>43452</v>
      </c>
      <c r="F677" s="10">
        <v>385.93</v>
      </c>
      <c r="G677" s="10">
        <v>443.82</v>
      </c>
      <c r="H677" s="56">
        <v>43100</v>
      </c>
      <c r="I677" s="24">
        <v>0</v>
      </c>
      <c r="J677" s="77"/>
    </row>
    <row r="678" spans="1:13" ht="24" x14ac:dyDescent="0.25">
      <c r="A678" s="115">
        <v>3</v>
      </c>
      <c r="B678" s="10" t="s">
        <v>200</v>
      </c>
      <c r="C678" s="10" t="str">
        <f>"4500014371"</f>
        <v>4500014371</v>
      </c>
      <c r="D678" s="56">
        <v>43074</v>
      </c>
      <c r="E678" s="56">
        <v>43444</v>
      </c>
      <c r="F678" s="10">
        <v>351.81</v>
      </c>
      <c r="G678" s="10">
        <v>404.58</v>
      </c>
      <c r="H678" s="162"/>
      <c r="I678" s="167">
        <v>0</v>
      </c>
      <c r="J678" s="77"/>
    </row>
    <row r="679" spans="1:13" x14ac:dyDescent="0.25">
      <c r="A679" s="115">
        <v>4</v>
      </c>
      <c r="B679" s="10" t="s">
        <v>204</v>
      </c>
      <c r="C679" s="10" t="str">
        <f>"004700015279"</f>
        <v>004700015279</v>
      </c>
      <c r="D679" s="56">
        <v>43055</v>
      </c>
      <c r="E679" s="56">
        <v>43443</v>
      </c>
      <c r="F679" s="70">
        <v>2182.0500000000002</v>
      </c>
      <c r="G679" s="70">
        <v>2182.0500000000002</v>
      </c>
      <c r="H679" s="56">
        <v>43100</v>
      </c>
      <c r="I679" s="24">
        <v>2182.0500000000002</v>
      </c>
      <c r="J679" s="77"/>
    </row>
    <row r="680" spans="1:13" x14ac:dyDescent="0.25">
      <c r="A680" s="115">
        <v>5</v>
      </c>
      <c r="B680" s="10" t="s">
        <v>204</v>
      </c>
      <c r="C680" s="10" t="str">
        <f>"017000636203"</f>
        <v>017000636203</v>
      </c>
      <c r="D680" s="56">
        <v>43049</v>
      </c>
      <c r="E680" s="56">
        <v>43443</v>
      </c>
      <c r="F680" s="10">
        <v>292.27999999999997</v>
      </c>
      <c r="G680" s="10">
        <v>292.27999999999997</v>
      </c>
      <c r="H680" s="56">
        <v>43100</v>
      </c>
      <c r="I680" s="24">
        <v>292.27999999999997</v>
      </c>
      <c r="J680" s="77"/>
    </row>
    <row r="681" spans="1:13" ht="24" x14ac:dyDescent="0.25">
      <c r="A681" s="115">
        <v>6</v>
      </c>
      <c r="B681" s="10" t="s">
        <v>17</v>
      </c>
      <c r="C681" s="10" t="str">
        <f>"POL 004700015618"</f>
        <v>POL 004700015618</v>
      </c>
      <c r="D681" s="56">
        <v>43076</v>
      </c>
      <c r="E681" s="56">
        <v>43441</v>
      </c>
      <c r="F681" s="70">
        <v>1431.77</v>
      </c>
      <c r="G681" s="70">
        <v>1574.95</v>
      </c>
      <c r="H681" s="56">
        <v>43100</v>
      </c>
      <c r="I681" s="24">
        <v>0</v>
      </c>
      <c r="J681" s="77"/>
    </row>
    <row r="682" spans="1:13" ht="24" x14ac:dyDescent="0.25">
      <c r="A682" s="115">
        <v>7</v>
      </c>
      <c r="B682" s="10" t="s">
        <v>17</v>
      </c>
      <c r="C682" s="10" t="str">
        <f>"POL 004700015621"</f>
        <v>POL 004700015621</v>
      </c>
      <c r="D682" s="56">
        <v>43076</v>
      </c>
      <c r="E682" s="56">
        <v>43441</v>
      </c>
      <c r="F682" s="70">
        <v>1431.77</v>
      </c>
      <c r="G682" s="70">
        <v>1574.95</v>
      </c>
      <c r="H682" s="56">
        <v>43100</v>
      </c>
      <c r="I682" s="24">
        <v>0</v>
      </c>
      <c r="J682" s="77"/>
    </row>
    <row r="683" spans="1:13" ht="24" x14ac:dyDescent="0.25">
      <c r="A683" s="115">
        <v>8</v>
      </c>
      <c r="B683" s="10" t="s">
        <v>17</v>
      </c>
      <c r="C683" s="10" t="str">
        <f>"POL 004700015623"</f>
        <v>POL 004700015623</v>
      </c>
      <c r="D683" s="56">
        <v>43076</v>
      </c>
      <c r="E683" s="56">
        <v>43441</v>
      </c>
      <c r="F683" s="70">
        <v>1431.77</v>
      </c>
      <c r="G683" s="70">
        <v>1574.95</v>
      </c>
      <c r="H683" s="56">
        <v>43100</v>
      </c>
      <c r="I683" s="24">
        <v>0</v>
      </c>
      <c r="J683" s="77"/>
    </row>
    <row r="684" spans="1:13" ht="24" x14ac:dyDescent="0.25">
      <c r="A684" s="115">
        <v>9</v>
      </c>
      <c r="B684" s="10" t="s">
        <v>17</v>
      </c>
      <c r="C684" s="10" t="str">
        <f>"POL 017000651911"</f>
        <v>POL 017000651911</v>
      </c>
      <c r="D684" s="56">
        <v>43075</v>
      </c>
      <c r="E684" s="56">
        <v>43440</v>
      </c>
      <c r="F684" s="10">
        <v>406.66</v>
      </c>
      <c r="G684" s="10">
        <v>467.66</v>
      </c>
      <c r="H684" s="56">
        <v>43100</v>
      </c>
      <c r="I684" s="24">
        <v>0</v>
      </c>
      <c r="J684" s="77"/>
    </row>
    <row r="685" spans="1:13" ht="24" x14ac:dyDescent="0.25">
      <c r="A685" s="115">
        <v>10</v>
      </c>
      <c r="B685" s="10" t="s">
        <v>17</v>
      </c>
      <c r="C685" s="10" t="str">
        <f>"POL 017000651881"</f>
        <v>POL 017000651881</v>
      </c>
      <c r="D685" s="56">
        <v>43075</v>
      </c>
      <c r="E685" s="56">
        <v>43440</v>
      </c>
      <c r="F685" s="10">
        <v>290.52</v>
      </c>
      <c r="G685" s="10">
        <v>334.1</v>
      </c>
      <c r="H685" s="56">
        <v>43100</v>
      </c>
      <c r="I685" s="24">
        <v>0</v>
      </c>
      <c r="J685" s="77"/>
    </row>
    <row r="686" spans="1:13" ht="24" x14ac:dyDescent="0.25">
      <c r="A686" s="115">
        <v>11</v>
      </c>
      <c r="B686" s="10" t="s">
        <v>17</v>
      </c>
      <c r="C686" s="10" t="str">
        <f>"POL 017000651903"</f>
        <v>POL 017000651903</v>
      </c>
      <c r="D686" s="56">
        <v>43075</v>
      </c>
      <c r="E686" s="56">
        <v>43440</v>
      </c>
      <c r="F686" s="10">
        <v>898.23</v>
      </c>
      <c r="G686" s="70">
        <v>1032.96</v>
      </c>
      <c r="H686" s="56">
        <v>43100</v>
      </c>
      <c r="I686" s="24">
        <v>0</v>
      </c>
      <c r="J686" s="77"/>
    </row>
    <row r="687" spans="1:13" ht="24" x14ac:dyDescent="0.25">
      <c r="A687" s="115">
        <v>12</v>
      </c>
      <c r="B687" s="10" t="s">
        <v>195</v>
      </c>
      <c r="C687" s="10" t="str">
        <f>"7/2017-1-MUP-2"</f>
        <v>7/2017-1-MUP-2</v>
      </c>
      <c r="D687" s="56">
        <v>43069</v>
      </c>
      <c r="E687" s="56">
        <v>43434</v>
      </c>
      <c r="F687" s="70">
        <v>120730.34</v>
      </c>
      <c r="G687" s="70">
        <v>120730.34</v>
      </c>
      <c r="H687" s="56">
        <v>43069</v>
      </c>
      <c r="I687" s="24">
        <v>120730.34</v>
      </c>
      <c r="J687" s="77"/>
    </row>
    <row r="688" spans="1:13" ht="24" x14ac:dyDescent="0.25">
      <c r="A688" s="115">
        <v>13</v>
      </c>
      <c r="B688" s="10" t="s">
        <v>17</v>
      </c>
      <c r="C688" s="10" t="str">
        <f>"POL 017000633999"</f>
        <v>POL 017000633999</v>
      </c>
      <c r="D688" s="56">
        <v>43062</v>
      </c>
      <c r="E688" s="56">
        <v>43427</v>
      </c>
      <c r="F688" s="10">
        <v>406.73</v>
      </c>
      <c r="G688" s="10">
        <v>467.74</v>
      </c>
      <c r="H688" s="56">
        <v>43100</v>
      </c>
      <c r="I688" s="24">
        <v>0</v>
      </c>
      <c r="J688" s="77"/>
    </row>
    <row r="689" spans="1:10" ht="36" x14ac:dyDescent="0.25">
      <c r="A689" s="115">
        <v>14</v>
      </c>
      <c r="B689" s="10" t="s">
        <v>189</v>
      </c>
      <c r="C689" s="10" t="str">
        <f>"881/2017"</f>
        <v>881/2017</v>
      </c>
      <c r="D689" s="56">
        <v>43060</v>
      </c>
      <c r="E689" s="56">
        <v>43090</v>
      </c>
      <c r="F689" s="10">
        <v>853.01</v>
      </c>
      <c r="G689" s="10">
        <v>853.01</v>
      </c>
      <c r="H689" s="56">
        <v>43100</v>
      </c>
      <c r="I689" s="24">
        <v>853.01</v>
      </c>
      <c r="J689" s="77"/>
    </row>
    <row r="690" spans="1:10" ht="36" x14ac:dyDescent="0.25">
      <c r="A690" s="115">
        <v>15</v>
      </c>
      <c r="B690" s="10" t="s">
        <v>188</v>
      </c>
      <c r="C690" s="10" t="str">
        <f>"POLICA OD AU.ODG. 017000633557"</f>
        <v>POLICA OD AU.ODG. 017000633557</v>
      </c>
      <c r="D690" s="56">
        <v>43048</v>
      </c>
      <c r="E690" s="56">
        <v>43424</v>
      </c>
      <c r="F690" s="10">
        <v>467.66</v>
      </c>
      <c r="G690" s="10">
        <v>584.58000000000004</v>
      </c>
      <c r="H690" s="56">
        <v>43100</v>
      </c>
      <c r="I690" s="24">
        <v>467.66</v>
      </c>
      <c r="J690" s="77"/>
    </row>
    <row r="691" spans="1:10" ht="36" x14ac:dyDescent="0.25">
      <c r="A691" s="115">
        <v>16</v>
      </c>
      <c r="B691" s="10" t="s">
        <v>188</v>
      </c>
      <c r="C691" s="10" t="str">
        <f>"POLICA KASKO 004700015230"</f>
        <v>POLICA KASKO 004700015230</v>
      </c>
      <c r="D691" s="56">
        <v>43048</v>
      </c>
      <c r="E691" s="56">
        <v>43424</v>
      </c>
      <c r="F691" s="10">
        <v>0</v>
      </c>
      <c r="G691" s="10">
        <v>0</v>
      </c>
      <c r="H691" s="56">
        <v>43100</v>
      </c>
      <c r="I691" s="24">
        <v>1784.3</v>
      </c>
      <c r="J691" s="77"/>
    </row>
    <row r="692" spans="1:10" ht="24" x14ac:dyDescent="0.25">
      <c r="A692" s="115">
        <v>17</v>
      </c>
      <c r="B692" s="10" t="s">
        <v>17</v>
      </c>
      <c r="C692" s="10" t="str">
        <f>"POL. 017000633980"</f>
        <v>POL. 017000633980</v>
      </c>
      <c r="D692" s="56">
        <v>43052</v>
      </c>
      <c r="E692" s="56">
        <v>43417</v>
      </c>
      <c r="F692" s="10">
        <v>348.62</v>
      </c>
      <c r="G692" s="10">
        <v>400.91</v>
      </c>
      <c r="H692" s="56">
        <v>43100</v>
      </c>
      <c r="I692" s="24">
        <v>0</v>
      </c>
      <c r="J692" s="77"/>
    </row>
    <row r="693" spans="1:10" ht="24" x14ac:dyDescent="0.25">
      <c r="A693" s="115">
        <v>18</v>
      </c>
      <c r="B693" s="10" t="s">
        <v>17</v>
      </c>
      <c r="C693" s="10" t="str">
        <f>"POL 017000627042"</f>
        <v>POL 017000627042</v>
      </c>
      <c r="D693" s="56">
        <v>43042</v>
      </c>
      <c r="E693" s="56">
        <v>43407</v>
      </c>
      <c r="F693" s="10">
        <v>633.26</v>
      </c>
      <c r="G693" s="10">
        <v>728.25</v>
      </c>
      <c r="H693" s="56">
        <v>43100</v>
      </c>
      <c r="I693" s="24">
        <v>0</v>
      </c>
      <c r="J693" s="77"/>
    </row>
    <row r="694" spans="1:10" ht="24" x14ac:dyDescent="0.25">
      <c r="A694" s="115">
        <v>19</v>
      </c>
      <c r="B694" s="10" t="s">
        <v>17</v>
      </c>
      <c r="C694" s="10" t="str">
        <f>"POL 004700014924"</f>
        <v>POL 004700014924</v>
      </c>
      <c r="D694" s="56">
        <v>43042</v>
      </c>
      <c r="E694" s="56">
        <v>43407</v>
      </c>
      <c r="F694" s="70">
        <v>2262.2800000000002</v>
      </c>
      <c r="G694" s="70">
        <v>2488.5100000000002</v>
      </c>
      <c r="H694" s="56">
        <v>43100</v>
      </c>
      <c r="I694" s="24">
        <v>0</v>
      </c>
      <c r="J694" s="77"/>
    </row>
    <row r="695" spans="1:10" ht="24" x14ac:dyDescent="0.25">
      <c r="A695" s="115">
        <v>20</v>
      </c>
      <c r="B695" s="10" t="s">
        <v>195</v>
      </c>
      <c r="C695" s="10" t="str">
        <f>"7/2017-1-MUP-1"</f>
        <v>7/2017-1-MUP-1</v>
      </c>
      <c r="D695" s="56">
        <v>43039</v>
      </c>
      <c r="E695" s="56">
        <v>43404</v>
      </c>
      <c r="F695" s="70">
        <v>28102.41</v>
      </c>
      <c r="G695" s="70">
        <v>28102.41</v>
      </c>
      <c r="H695" s="56">
        <v>43039</v>
      </c>
      <c r="I695" s="24">
        <v>28102.41</v>
      </c>
      <c r="J695" s="77"/>
    </row>
    <row r="696" spans="1:10" x14ac:dyDescent="0.25">
      <c r="A696" s="115">
        <v>21</v>
      </c>
      <c r="B696" s="10" t="s">
        <v>191</v>
      </c>
      <c r="C696" s="10" t="str">
        <f>"POLICE-MFIN"</f>
        <v>POLICE-MFIN</v>
      </c>
      <c r="D696" s="56">
        <v>43021</v>
      </c>
      <c r="E696" s="56">
        <v>43751</v>
      </c>
      <c r="F696" s="10">
        <v>0</v>
      </c>
      <c r="G696" s="10">
        <v>0</v>
      </c>
      <c r="H696" s="56">
        <v>43100</v>
      </c>
      <c r="I696" s="24">
        <v>1051.92</v>
      </c>
      <c r="J696" s="77"/>
    </row>
    <row r="697" spans="1:10" ht="36" x14ac:dyDescent="0.25">
      <c r="A697" s="115">
        <v>22</v>
      </c>
      <c r="B697" s="10" t="s">
        <v>206</v>
      </c>
      <c r="C697" s="10" t="str">
        <f>"NARUDŽBENICA OSIGURANJE GRUPA"</f>
        <v>NARUDŽBENICA OSIGURANJE GRUPA</v>
      </c>
      <c r="D697" s="56">
        <v>43009</v>
      </c>
      <c r="E697" s="56">
        <v>43751</v>
      </c>
      <c r="F697" s="70">
        <v>65000</v>
      </c>
      <c r="G697" s="70">
        <v>81250</v>
      </c>
      <c r="H697" s="56">
        <v>43100</v>
      </c>
      <c r="I697" s="24">
        <v>1049.7</v>
      </c>
      <c r="J697" s="77"/>
    </row>
    <row r="698" spans="1:10" ht="24" x14ac:dyDescent="0.25">
      <c r="A698" s="115">
        <v>23</v>
      </c>
      <c r="B698" s="10" t="s">
        <v>17</v>
      </c>
      <c r="C698" s="10" t="str">
        <f>"POL 004700011857"</f>
        <v>POL 004700011857</v>
      </c>
      <c r="D698" s="56">
        <v>42978</v>
      </c>
      <c r="E698" s="56">
        <v>43343</v>
      </c>
      <c r="F698" s="70">
        <v>4161.46</v>
      </c>
      <c r="G698" s="70">
        <v>4577.6099999999997</v>
      </c>
      <c r="H698" s="56">
        <v>43100</v>
      </c>
      <c r="I698" s="24">
        <v>0</v>
      </c>
      <c r="J698" s="77"/>
    </row>
    <row r="699" spans="1:10" ht="24" x14ac:dyDescent="0.25">
      <c r="A699" s="115">
        <v>24</v>
      </c>
      <c r="B699" s="10" t="s">
        <v>17</v>
      </c>
      <c r="C699" s="10" t="str">
        <f>"POL 004700011854"</f>
        <v>POL 004700011854</v>
      </c>
      <c r="D699" s="56">
        <v>42978</v>
      </c>
      <c r="E699" s="56">
        <v>43343</v>
      </c>
      <c r="F699" s="70">
        <v>4161.46</v>
      </c>
      <c r="G699" s="70">
        <v>4577.6099999999997</v>
      </c>
      <c r="H699" s="56">
        <v>43100</v>
      </c>
      <c r="I699" s="24">
        <v>0</v>
      </c>
      <c r="J699" s="77"/>
    </row>
    <row r="700" spans="1:10" ht="24" x14ac:dyDescent="0.25">
      <c r="A700" s="115">
        <v>25</v>
      </c>
      <c r="B700" s="10" t="s">
        <v>17</v>
      </c>
      <c r="C700" s="10" t="str">
        <f>"POL 017000541504"</f>
        <v>POL 017000541504</v>
      </c>
      <c r="D700" s="56">
        <v>42959</v>
      </c>
      <c r="E700" s="56">
        <v>43324</v>
      </c>
      <c r="F700" s="10">
        <v>350.63</v>
      </c>
      <c r="G700" s="10">
        <v>403.22</v>
      </c>
      <c r="H700" s="56">
        <v>43100</v>
      </c>
      <c r="I700" s="24">
        <v>0</v>
      </c>
      <c r="J700" s="77"/>
    </row>
    <row r="701" spans="1:10" ht="24" x14ac:dyDescent="0.25">
      <c r="A701" s="115">
        <v>26</v>
      </c>
      <c r="B701" s="10" t="s">
        <v>17</v>
      </c>
      <c r="C701" s="10" t="str">
        <f>"POL 004700011832"</f>
        <v>POL 004700011832</v>
      </c>
      <c r="D701" s="56">
        <v>42956</v>
      </c>
      <c r="E701" s="56">
        <v>43321</v>
      </c>
      <c r="F701" s="70">
        <v>3329.21</v>
      </c>
      <c r="G701" s="70">
        <v>3662.13</v>
      </c>
      <c r="H701" s="56">
        <v>43100</v>
      </c>
      <c r="I701" s="24">
        <v>0</v>
      </c>
      <c r="J701" s="77"/>
    </row>
    <row r="702" spans="1:10" ht="24" x14ac:dyDescent="0.25">
      <c r="A702" s="115">
        <v>27</v>
      </c>
      <c r="B702" s="10" t="s">
        <v>17</v>
      </c>
      <c r="C702" s="10" t="str">
        <f>"POL 004700011831"</f>
        <v>POL 004700011831</v>
      </c>
      <c r="D702" s="56">
        <v>42956</v>
      </c>
      <c r="E702" s="56">
        <v>43321</v>
      </c>
      <c r="F702" s="10">
        <v>946.59</v>
      </c>
      <c r="G702" s="70">
        <v>1041.25</v>
      </c>
      <c r="H702" s="56">
        <v>43100</v>
      </c>
      <c r="I702" s="24">
        <v>0</v>
      </c>
      <c r="J702" s="77"/>
    </row>
    <row r="703" spans="1:10" ht="24" x14ac:dyDescent="0.25">
      <c r="A703" s="115">
        <v>28</v>
      </c>
      <c r="B703" s="10" t="s">
        <v>17</v>
      </c>
      <c r="C703" s="10" t="str">
        <f>"POL 004700011825"</f>
        <v>POL 004700011825</v>
      </c>
      <c r="D703" s="56">
        <v>42956</v>
      </c>
      <c r="E703" s="56">
        <v>43321</v>
      </c>
      <c r="F703" s="70">
        <v>6605.42</v>
      </c>
      <c r="G703" s="70">
        <v>7265.96</v>
      </c>
      <c r="H703" s="56">
        <v>43100</v>
      </c>
      <c r="I703" s="24">
        <v>0</v>
      </c>
      <c r="J703" s="77"/>
    </row>
    <row r="704" spans="1:10" ht="24" x14ac:dyDescent="0.25">
      <c r="A704" s="115">
        <v>29</v>
      </c>
      <c r="B704" s="10" t="s">
        <v>17</v>
      </c>
      <c r="C704" s="10" t="str">
        <f>"POL 004700011829"</f>
        <v>POL 004700011829</v>
      </c>
      <c r="D704" s="56">
        <v>42956</v>
      </c>
      <c r="E704" s="56">
        <v>43321</v>
      </c>
      <c r="F704" s="70">
        <v>6187.37</v>
      </c>
      <c r="G704" s="70">
        <v>6806.11</v>
      </c>
      <c r="H704" s="56">
        <v>43100</v>
      </c>
      <c r="I704" s="24">
        <v>0</v>
      </c>
      <c r="J704" s="77"/>
    </row>
    <row r="705" spans="1:14" ht="24" x14ac:dyDescent="0.25">
      <c r="A705" s="115">
        <v>30</v>
      </c>
      <c r="B705" s="10" t="s">
        <v>17</v>
      </c>
      <c r="C705" s="10" t="str">
        <f>"POL 004700011830"</f>
        <v>POL 004700011830</v>
      </c>
      <c r="D705" s="56">
        <v>42956</v>
      </c>
      <c r="E705" s="56">
        <v>43321</v>
      </c>
      <c r="F705" s="70">
        <v>2253.1</v>
      </c>
      <c r="G705" s="70">
        <v>2478.41</v>
      </c>
      <c r="H705" s="56">
        <v>43100</v>
      </c>
      <c r="I705" s="24">
        <v>0</v>
      </c>
      <c r="J705" s="77"/>
    </row>
    <row r="706" spans="1:14" ht="24" x14ac:dyDescent="0.25">
      <c r="A706" s="115">
        <v>31</v>
      </c>
      <c r="B706" s="10" t="s">
        <v>17</v>
      </c>
      <c r="C706" s="10" t="str">
        <f>"POL 004700011828"</f>
        <v>POL 004700011828</v>
      </c>
      <c r="D706" s="56">
        <v>42956</v>
      </c>
      <c r="E706" s="56">
        <v>43321</v>
      </c>
      <c r="F706" s="70">
        <v>3529.61</v>
      </c>
      <c r="G706" s="70">
        <v>3882.57</v>
      </c>
      <c r="H706" s="56">
        <v>43100</v>
      </c>
      <c r="I706" s="24">
        <v>0</v>
      </c>
      <c r="J706" s="77"/>
    </row>
    <row r="707" spans="1:14" ht="24" x14ac:dyDescent="0.25">
      <c r="A707" s="115">
        <v>32</v>
      </c>
      <c r="B707" s="10" t="s">
        <v>17</v>
      </c>
      <c r="C707" s="10" t="str">
        <f>"POL 004700011827"</f>
        <v>POL 004700011827</v>
      </c>
      <c r="D707" s="56">
        <v>42956</v>
      </c>
      <c r="E707" s="56">
        <v>43321</v>
      </c>
      <c r="F707" s="70">
        <v>3995.05</v>
      </c>
      <c r="G707" s="70">
        <v>4394.3599999999997</v>
      </c>
      <c r="H707" s="56">
        <v>43100</v>
      </c>
      <c r="I707" s="24">
        <v>0</v>
      </c>
      <c r="J707" s="77"/>
    </row>
    <row r="708" spans="1:14" ht="24" x14ac:dyDescent="0.25">
      <c r="A708" s="115">
        <v>33</v>
      </c>
      <c r="B708" s="10" t="s">
        <v>203</v>
      </c>
      <c r="C708" s="10" t="str">
        <f>"POLICE AO I KASKO17-18"</f>
        <v>POLICE AO I KASKO17-18</v>
      </c>
      <c r="D708" s="56">
        <v>42804</v>
      </c>
      <c r="E708" s="56">
        <v>43442</v>
      </c>
      <c r="F708" s="70">
        <v>56665.38</v>
      </c>
      <c r="G708" s="70">
        <v>56665.38</v>
      </c>
      <c r="H708" s="56">
        <v>43100</v>
      </c>
      <c r="I708" s="24">
        <v>1443.32</v>
      </c>
      <c r="J708" s="77"/>
      <c r="K708" s="48"/>
    </row>
    <row r="709" spans="1:14" ht="7.5" customHeight="1" x14ac:dyDescent="0.25"/>
    <row r="710" spans="1:14" x14ac:dyDescent="0.25">
      <c r="A710" s="175" t="s">
        <v>43</v>
      </c>
      <c r="B710" s="175"/>
      <c r="C710" s="175"/>
      <c r="D710" s="175"/>
      <c r="E710" s="175"/>
      <c r="F710" s="175"/>
      <c r="G710" s="175"/>
      <c r="H710" s="175"/>
      <c r="I710" s="175"/>
      <c r="J710" s="175"/>
      <c r="K710" s="175"/>
      <c r="L710" s="175"/>
      <c r="M710" s="175"/>
      <c r="N710" s="175"/>
    </row>
    <row r="711" spans="1:14" ht="36" x14ac:dyDescent="0.25">
      <c r="A711" s="53" t="s">
        <v>0</v>
      </c>
      <c r="B711" s="54" t="s">
        <v>1</v>
      </c>
      <c r="C711" s="54" t="s">
        <v>3</v>
      </c>
      <c r="D711" s="178" t="s">
        <v>171</v>
      </c>
      <c r="E711" s="178"/>
      <c r="F711" s="54" t="s">
        <v>166</v>
      </c>
      <c r="G711" s="54" t="s">
        <v>170</v>
      </c>
      <c r="H711" s="54" t="s">
        <v>167</v>
      </c>
      <c r="I711" s="54" t="s">
        <v>4</v>
      </c>
      <c r="J711" s="54" t="s">
        <v>5</v>
      </c>
      <c r="K711" s="54" t="s">
        <v>2</v>
      </c>
      <c r="L711" s="54" t="s">
        <v>172</v>
      </c>
      <c r="M711" s="54" t="s">
        <v>173</v>
      </c>
      <c r="N711" s="54" t="s">
        <v>169</v>
      </c>
    </row>
    <row r="712" spans="1:14" ht="36" x14ac:dyDescent="0.25">
      <c r="A712" s="1">
        <v>1</v>
      </c>
      <c r="B712" s="33" t="s">
        <v>63</v>
      </c>
      <c r="C712" s="34" t="s">
        <v>136</v>
      </c>
      <c r="D712" s="192" t="s">
        <v>1043</v>
      </c>
      <c r="E712" s="192"/>
      <c r="F712" s="32" t="s">
        <v>150</v>
      </c>
      <c r="G712" s="38" t="s">
        <v>1010</v>
      </c>
      <c r="H712" s="32" t="s">
        <v>15</v>
      </c>
      <c r="I712" s="35">
        <v>43021</v>
      </c>
      <c r="J712" s="32" t="s">
        <v>51</v>
      </c>
      <c r="K712" s="36">
        <v>1385764.36</v>
      </c>
      <c r="L712" s="96">
        <v>0</v>
      </c>
      <c r="M712" s="96">
        <v>1385764.36</v>
      </c>
      <c r="N712" s="176"/>
    </row>
    <row r="713" spans="1:14" ht="15" customHeight="1" x14ac:dyDescent="0.25">
      <c r="A713" s="177" t="s">
        <v>1012</v>
      </c>
      <c r="B713" s="177"/>
      <c r="C713" s="177"/>
      <c r="D713" s="177"/>
      <c r="E713" s="177"/>
      <c r="F713" s="177"/>
      <c r="G713" s="177"/>
      <c r="H713" s="177"/>
      <c r="I713" s="177"/>
      <c r="J713" s="177"/>
      <c r="K713" s="177"/>
      <c r="L713" s="177"/>
      <c r="M713" s="96">
        <v>49452</v>
      </c>
      <c r="N713" s="176"/>
    </row>
    <row r="714" spans="1:14" ht="7.5" customHeight="1" x14ac:dyDescent="0.25">
      <c r="L714" s="47"/>
    </row>
    <row r="715" spans="1:14" ht="15" customHeight="1" x14ac:dyDescent="0.25">
      <c r="A715" s="175" t="s">
        <v>12</v>
      </c>
      <c r="B715" s="175"/>
      <c r="C715" s="175"/>
      <c r="D715" s="175"/>
      <c r="E715" s="175"/>
      <c r="F715" s="175"/>
      <c r="G715" s="175"/>
      <c r="H715" s="175"/>
      <c r="I715" s="175"/>
      <c r="J715" s="175"/>
      <c r="K715" s="49"/>
      <c r="L715" s="49"/>
    </row>
    <row r="716" spans="1:14" ht="48" customHeight="1" x14ac:dyDescent="0.25">
      <c r="A716" s="2" t="s">
        <v>0</v>
      </c>
      <c r="B716" s="3" t="s">
        <v>7</v>
      </c>
      <c r="C716" s="3" t="s">
        <v>6</v>
      </c>
      <c r="D716" s="3" t="s">
        <v>8</v>
      </c>
      <c r="E716" s="3" t="s">
        <v>168</v>
      </c>
      <c r="F716" s="3" t="s">
        <v>174</v>
      </c>
      <c r="G716" s="3" t="s">
        <v>175</v>
      </c>
      <c r="H716" s="3" t="s">
        <v>9</v>
      </c>
      <c r="I716" s="3" t="s">
        <v>176</v>
      </c>
      <c r="J716" s="3" t="s">
        <v>10</v>
      </c>
      <c r="K716" s="48"/>
      <c r="L716" s="48"/>
      <c r="M716" s="48"/>
    </row>
    <row r="717" spans="1:14" ht="24" x14ac:dyDescent="0.25">
      <c r="A717" s="38">
        <v>1</v>
      </c>
      <c r="B717" s="10" t="s">
        <v>195</v>
      </c>
      <c r="C717" s="10" t="str">
        <f>"7/2017-2-MUP-3"</f>
        <v>7/2017-2-MUP-3</v>
      </c>
      <c r="D717" s="56">
        <v>43100</v>
      </c>
      <c r="E717" s="56">
        <v>43465</v>
      </c>
      <c r="F717" s="70">
        <v>10032</v>
      </c>
      <c r="G717" s="70">
        <v>10032</v>
      </c>
      <c r="H717" s="56">
        <v>43100</v>
      </c>
      <c r="I717" s="24">
        <v>10032</v>
      </c>
      <c r="J717" s="77"/>
    </row>
    <row r="718" spans="1:14" ht="24" x14ac:dyDescent="0.25">
      <c r="A718" s="115">
        <v>2</v>
      </c>
      <c r="B718" s="10" t="s">
        <v>197</v>
      </c>
      <c r="C718" s="10" t="str">
        <f>"N598/2017DT"</f>
        <v>N598/2017DT</v>
      </c>
      <c r="D718" s="56">
        <v>43087</v>
      </c>
      <c r="E718" s="56">
        <v>43089</v>
      </c>
      <c r="F718" s="10">
        <v>24.15</v>
      </c>
      <c r="G718" s="10">
        <v>24.15</v>
      </c>
      <c r="H718" s="56">
        <v>43089</v>
      </c>
      <c r="I718" s="24">
        <v>24.15</v>
      </c>
      <c r="J718" s="77"/>
    </row>
    <row r="719" spans="1:14" ht="24" x14ac:dyDescent="0.25">
      <c r="A719" s="115">
        <v>3</v>
      </c>
      <c r="B719" s="10" t="s">
        <v>197</v>
      </c>
      <c r="C719" s="10" t="str">
        <f>"N569/2017DT"</f>
        <v>N569/2017DT</v>
      </c>
      <c r="D719" s="56">
        <v>43073</v>
      </c>
      <c r="E719" s="56">
        <v>43089</v>
      </c>
      <c r="F719" s="10">
        <v>24.15</v>
      </c>
      <c r="G719" s="10">
        <v>24.15</v>
      </c>
      <c r="H719" s="56">
        <v>43089</v>
      </c>
      <c r="I719" s="24">
        <v>24.15</v>
      </c>
      <c r="J719" s="77"/>
      <c r="K719" s="48"/>
    </row>
    <row r="720" spans="1:14" ht="24" x14ac:dyDescent="0.25">
      <c r="A720" s="115">
        <v>4</v>
      </c>
      <c r="B720" s="10" t="s">
        <v>195</v>
      </c>
      <c r="C720" s="10" t="str">
        <f>"7/2017-2-MUP-2"</f>
        <v>7/2017-2-MUP-2</v>
      </c>
      <c r="D720" s="56">
        <v>43069</v>
      </c>
      <c r="E720" s="56">
        <v>43434</v>
      </c>
      <c r="F720" s="70">
        <v>15793.66</v>
      </c>
      <c r="G720" s="70">
        <v>15793.66</v>
      </c>
      <c r="H720" s="56">
        <v>43100</v>
      </c>
      <c r="I720" s="24">
        <v>15793.66</v>
      </c>
      <c r="J720" s="77"/>
    </row>
    <row r="721" spans="1:11" ht="24" x14ac:dyDescent="0.25">
      <c r="A721" s="115">
        <v>5</v>
      </c>
      <c r="B721" s="10" t="s">
        <v>197</v>
      </c>
      <c r="C721" s="10" t="str">
        <f>"N541/2017DT"</f>
        <v>N541/2017DT</v>
      </c>
      <c r="D721" s="56">
        <v>43063</v>
      </c>
      <c r="E721" s="56">
        <v>43069</v>
      </c>
      <c r="F721" s="70">
        <v>5331.25</v>
      </c>
      <c r="G721" s="70">
        <v>5331.25</v>
      </c>
      <c r="H721" s="56">
        <v>43069</v>
      </c>
      <c r="I721" s="24">
        <v>5331.25</v>
      </c>
      <c r="J721" s="77"/>
    </row>
    <row r="722" spans="1:11" ht="24" x14ac:dyDescent="0.25">
      <c r="A722" s="115">
        <v>6</v>
      </c>
      <c r="B722" s="10" t="s">
        <v>195</v>
      </c>
      <c r="C722" s="10" t="str">
        <f>"7/2017-2-MUP-1"</f>
        <v>7/2017-2-MUP-1</v>
      </c>
      <c r="D722" s="56">
        <v>43039</v>
      </c>
      <c r="E722" s="56">
        <v>43404</v>
      </c>
      <c r="F722" s="70">
        <v>1341.77</v>
      </c>
      <c r="G722" s="70">
        <v>1341.77</v>
      </c>
      <c r="H722" s="56">
        <v>43100</v>
      </c>
      <c r="I722" s="24">
        <v>1341.77</v>
      </c>
      <c r="J722" s="77"/>
      <c r="K722" s="48"/>
    </row>
    <row r="723" spans="1:11" ht="24" x14ac:dyDescent="0.25">
      <c r="A723" s="115">
        <v>7</v>
      </c>
      <c r="B723" s="10" t="s">
        <v>197</v>
      </c>
      <c r="C723" s="10" t="str">
        <f>"N469/2017DT"</f>
        <v>N469/2017DT</v>
      </c>
      <c r="D723" s="56">
        <v>43031</v>
      </c>
      <c r="E723" s="56">
        <v>43069</v>
      </c>
      <c r="F723" s="70">
        <v>3497.33</v>
      </c>
      <c r="G723" s="70">
        <v>3497.33</v>
      </c>
      <c r="H723" s="56">
        <v>43069</v>
      </c>
      <c r="I723" s="24">
        <v>3460</v>
      </c>
      <c r="J723" s="77"/>
    </row>
    <row r="724" spans="1:11" ht="24" x14ac:dyDescent="0.25">
      <c r="A724" s="115">
        <v>8</v>
      </c>
      <c r="B724" s="10" t="s">
        <v>18</v>
      </c>
      <c r="C724" s="10" t="str">
        <f>"MORH- 7/2017-2"</f>
        <v>MORH- 7/2017-2</v>
      </c>
      <c r="D724" s="56">
        <v>43021</v>
      </c>
      <c r="E724" s="56">
        <v>43751</v>
      </c>
      <c r="F724" s="70">
        <v>649600</v>
      </c>
      <c r="G724" s="70">
        <v>812000</v>
      </c>
      <c r="H724" s="56">
        <v>43100</v>
      </c>
      <c r="I724" s="24">
        <v>13445.02</v>
      </c>
      <c r="J724" s="77"/>
    </row>
    <row r="725" spans="1:11" ht="24" x14ac:dyDescent="0.25">
      <c r="A725" s="115">
        <v>9</v>
      </c>
      <c r="B725" s="10" t="s">
        <v>206</v>
      </c>
      <c r="C725" s="10" t="str">
        <f>" OSIGURANJE GRUPA 2"</f>
        <v xml:space="preserve"> OSIGURANJE GRUPA 2</v>
      </c>
      <c r="D725" s="56">
        <v>43009</v>
      </c>
      <c r="E725" s="56">
        <v>43751</v>
      </c>
      <c r="F725" s="70">
        <v>10000</v>
      </c>
      <c r="G725" s="70">
        <v>12500</v>
      </c>
      <c r="H725" s="56">
        <v>43100</v>
      </c>
      <c r="I725" s="24">
        <v>0</v>
      </c>
      <c r="J725" s="77"/>
      <c r="K725" s="48"/>
    </row>
    <row r="727" spans="1:11" x14ac:dyDescent="0.25">
      <c r="B727" s="174" t="s">
        <v>2028</v>
      </c>
      <c r="C727" s="174"/>
      <c r="D727" s="174"/>
      <c r="E727" s="174"/>
      <c r="F727" s="174"/>
      <c r="G727" s="174"/>
      <c r="H727" s="174"/>
      <c r="I727" s="174"/>
      <c r="J727" s="174"/>
    </row>
  </sheetData>
  <sheetProtection algorithmName="SHA-512" hashValue="QwbUXowJhEqWG1AbbDaATiQLli+zwi83oB4ylxXMPCDhhxvNFuzZD+bHwJMSxo4S9jzLh1whrJ/1w54SDAmKAg==" saltValue="pIF8qO1TLutGmLJwrGWdLw==" spinCount="100000" sheet="1" objects="1" scenarios="1"/>
  <mergeCells count="25">
    <mergeCell ref="A6:J6"/>
    <mergeCell ref="A1:N1"/>
    <mergeCell ref="D2:E2"/>
    <mergeCell ref="D3:E3"/>
    <mergeCell ref="N3:N4"/>
    <mergeCell ref="A4:L4"/>
    <mergeCell ref="A10:N10"/>
    <mergeCell ref="D11:E11"/>
    <mergeCell ref="D12:E12"/>
    <mergeCell ref="N12:N13"/>
    <mergeCell ref="A13:L13"/>
    <mergeCell ref="A15:J15"/>
    <mergeCell ref="A669:N669"/>
    <mergeCell ref="D670:E670"/>
    <mergeCell ref="D671:E671"/>
    <mergeCell ref="N671:N672"/>
    <mergeCell ref="A672:L672"/>
    <mergeCell ref="B727:J727"/>
    <mergeCell ref="A715:J715"/>
    <mergeCell ref="A674:J674"/>
    <mergeCell ref="A710:N710"/>
    <mergeCell ref="D711:E711"/>
    <mergeCell ref="D712:E712"/>
    <mergeCell ref="N712:N713"/>
    <mergeCell ref="A713:L713"/>
  </mergeCells>
  <pageMargins left="0.23622047244094491" right="0.23622047244094491" top="0.98425196850393704" bottom="0.59055118110236227" header="0.31496062992125984" footer="0.31496062992125984"/>
  <pageSetup scale="69" fitToHeight="0" orientation="landscape" r:id="rId1"/>
  <headerFooter>
    <oddHeader>&amp;L&amp;G&amp;CRegistar okvirnih sporazuma i ugovora za 2016. godinu 
za predmete nabave iz nadležnosti Središnjeg državnog ureda za središnju javnu nabavu</oddHeader>
    <oddFooter>&amp;L&amp;D&amp;C &amp;A&amp;R&amp;P/&amp;N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N48"/>
  <sheetViews>
    <sheetView view="pageLayout" zoomScaleNormal="100" workbookViewId="0">
      <selection sqref="A1:N1"/>
    </sheetView>
  </sheetViews>
  <sheetFormatPr defaultRowHeight="15" x14ac:dyDescent="0.25"/>
  <cols>
    <col min="1" max="1" width="4.85546875" customWidth="1"/>
    <col min="2" max="2" width="26.140625" customWidth="1"/>
    <col min="3" max="3" width="12" customWidth="1"/>
    <col min="4" max="4" width="13.42578125" customWidth="1"/>
    <col min="5" max="5" width="14" customWidth="1"/>
    <col min="6" max="6" width="15.28515625" customWidth="1"/>
    <col min="7" max="10" width="13.5703125" customWidth="1"/>
    <col min="11" max="13" width="14.28515625" customWidth="1"/>
    <col min="14" max="14" width="11.42578125" customWidth="1"/>
  </cols>
  <sheetData>
    <row r="1" spans="1:14" x14ac:dyDescent="0.25">
      <c r="A1" s="175" t="s">
        <v>183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36" x14ac:dyDescent="0.25">
      <c r="A2" s="53" t="s">
        <v>0</v>
      </c>
      <c r="B2" s="54" t="s">
        <v>1</v>
      </c>
      <c r="C2" s="54" t="s">
        <v>3</v>
      </c>
      <c r="D2" s="178" t="s">
        <v>171</v>
      </c>
      <c r="E2" s="178"/>
      <c r="F2" s="54" t="s">
        <v>166</v>
      </c>
      <c r="G2" s="54" t="s">
        <v>170</v>
      </c>
      <c r="H2" s="54" t="s">
        <v>167</v>
      </c>
      <c r="I2" s="54" t="s">
        <v>4</v>
      </c>
      <c r="J2" s="54" t="s">
        <v>5</v>
      </c>
      <c r="K2" s="54" t="s">
        <v>2</v>
      </c>
      <c r="L2" s="54" t="s">
        <v>172</v>
      </c>
      <c r="M2" s="54" t="s">
        <v>173</v>
      </c>
      <c r="N2" s="54" t="s">
        <v>169</v>
      </c>
    </row>
    <row r="3" spans="1:14" x14ac:dyDescent="0.25">
      <c r="A3" s="1">
        <v>1</v>
      </c>
      <c r="B3" s="4" t="s">
        <v>142</v>
      </c>
      <c r="C3" s="1" t="s">
        <v>143</v>
      </c>
      <c r="D3" s="192" t="s">
        <v>1044</v>
      </c>
      <c r="E3" s="192"/>
      <c r="F3" s="1" t="s">
        <v>158</v>
      </c>
      <c r="G3" s="1">
        <v>79700000</v>
      </c>
      <c r="H3" s="1" t="s">
        <v>144</v>
      </c>
      <c r="I3" s="15" t="s">
        <v>159</v>
      </c>
      <c r="J3" s="1" t="s">
        <v>51</v>
      </c>
      <c r="K3" s="8">
        <v>11439936.800000001</v>
      </c>
      <c r="L3" s="8">
        <f>K3*0.25</f>
        <v>2859984.2</v>
      </c>
      <c r="M3" s="8">
        <f>K3+L3</f>
        <v>14299921</v>
      </c>
      <c r="N3" s="176"/>
    </row>
    <row r="4" spans="1:14" ht="15" customHeight="1" x14ac:dyDescent="0.25">
      <c r="A4" s="177" t="s">
        <v>1012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8">
        <v>186051.3</v>
      </c>
      <c r="N4" s="176"/>
    </row>
    <row r="5" spans="1:14" ht="7.5" customHeight="1" x14ac:dyDescent="0.25">
      <c r="L5" s="47"/>
    </row>
    <row r="6" spans="1:14" ht="15" customHeight="1" x14ac:dyDescent="0.25">
      <c r="A6" s="175" t="s">
        <v>12</v>
      </c>
      <c r="B6" s="175"/>
      <c r="C6" s="175"/>
      <c r="D6" s="175"/>
      <c r="E6" s="175"/>
      <c r="F6" s="175"/>
      <c r="G6" s="175"/>
      <c r="H6" s="175"/>
      <c r="I6" s="175"/>
      <c r="J6" s="175"/>
      <c r="K6" s="49"/>
      <c r="L6" s="49"/>
    </row>
    <row r="7" spans="1:14" ht="48" customHeight="1" x14ac:dyDescent="0.25">
      <c r="A7" s="2" t="s">
        <v>0</v>
      </c>
      <c r="B7" s="3" t="s">
        <v>7</v>
      </c>
      <c r="C7" s="3" t="s">
        <v>6</v>
      </c>
      <c r="D7" s="3" t="s">
        <v>8</v>
      </c>
      <c r="E7" s="3" t="s">
        <v>168</v>
      </c>
      <c r="F7" s="3" t="s">
        <v>174</v>
      </c>
      <c r="G7" s="3" t="s">
        <v>175</v>
      </c>
      <c r="H7" s="3" t="s">
        <v>9</v>
      </c>
      <c r="I7" s="3" t="s">
        <v>176</v>
      </c>
      <c r="J7" s="3" t="s">
        <v>10</v>
      </c>
      <c r="L7" s="48"/>
      <c r="M7" s="48"/>
    </row>
    <row r="8" spans="1:14" x14ac:dyDescent="0.25">
      <c r="A8" s="1">
        <v>1</v>
      </c>
      <c r="B8" s="60" t="s">
        <v>198</v>
      </c>
      <c r="C8" s="10" t="str">
        <f>"P/15400822"</f>
        <v>P/15400822</v>
      </c>
      <c r="D8" s="56">
        <v>43059</v>
      </c>
      <c r="E8" s="56">
        <v>43427</v>
      </c>
      <c r="F8" s="8">
        <v>245104.8</v>
      </c>
      <c r="G8" s="8">
        <v>306381</v>
      </c>
      <c r="H8" s="56">
        <v>43100</v>
      </c>
      <c r="I8" s="24">
        <v>32491.174999999999</v>
      </c>
      <c r="J8" s="70"/>
      <c r="L8" s="112"/>
      <c r="M8" s="112"/>
      <c r="N8" s="112"/>
    </row>
    <row r="9" spans="1:14" x14ac:dyDescent="0.25">
      <c r="A9" s="1">
        <v>2</v>
      </c>
      <c r="B9" s="60" t="s">
        <v>198</v>
      </c>
      <c r="C9" s="10" t="str">
        <f>"P/15380713"</f>
        <v>P/15380713</v>
      </c>
      <c r="D9" s="56">
        <v>43033</v>
      </c>
      <c r="E9" s="56">
        <v>43404</v>
      </c>
      <c r="F9" s="8">
        <v>87633.36</v>
      </c>
      <c r="G9" s="8">
        <v>109541.7</v>
      </c>
      <c r="H9" s="56">
        <v>43100</v>
      </c>
      <c r="I9" s="24">
        <v>16788</v>
      </c>
      <c r="J9" s="70"/>
      <c r="L9" s="112"/>
      <c r="M9" s="112"/>
      <c r="N9" s="112"/>
    </row>
    <row r="10" spans="1:14" ht="36" x14ac:dyDescent="0.25">
      <c r="A10" s="1">
        <v>3</v>
      </c>
      <c r="B10" s="60" t="s">
        <v>191</v>
      </c>
      <c r="C10" s="10" t="str">
        <f>"MFIN:KL:406-01/16-01/129UR-6"</f>
        <v>MFIN:KL:406-01/16-01/129UR-6</v>
      </c>
      <c r="D10" s="56">
        <v>43032</v>
      </c>
      <c r="E10" s="56">
        <v>43384</v>
      </c>
      <c r="F10" s="8">
        <v>858722.1</v>
      </c>
      <c r="G10" s="8">
        <v>1073402.6299999999</v>
      </c>
      <c r="H10" s="56">
        <v>43100</v>
      </c>
      <c r="I10" s="24">
        <v>136772.125</v>
      </c>
      <c r="J10" s="70"/>
      <c r="L10" s="112"/>
      <c r="M10" s="112"/>
      <c r="N10" s="112"/>
    </row>
    <row r="11" spans="1:14" ht="7.5" customHeight="1" x14ac:dyDescent="0.25"/>
    <row r="12" spans="1:14" x14ac:dyDescent="0.25">
      <c r="A12" s="175" t="s">
        <v>183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</row>
    <row r="13" spans="1:14" ht="36" x14ac:dyDescent="0.25">
      <c r="A13" s="53" t="s">
        <v>0</v>
      </c>
      <c r="B13" s="54" t="s">
        <v>1</v>
      </c>
      <c r="C13" s="54" t="s">
        <v>3</v>
      </c>
      <c r="D13" s="178" t="s">
        <v>171</v>
      </c>
      <c r="E13" s="178"/>
      <c r="F13" s="54" t="s">
        <v>166</v>
      </c>
      <c r="G13" s="54" t="s">
        <v>170</v>
      </c>
      <c r="H13" s="54" t="s">
        <v>167</v>
      </c>
      <c r="I13" s="54" t="s">
        <v>4</v>
      </c>
      <c r="J13" s="54" t="s">
        <v>5</v>
      </c>
      <c r="K13" s="54" t="s">
        <v>2</v>
      </c>
      <c r="L13" s="54" t="s">
        <v>172</v>
      </c>
      <c r="M13" s="54" t="s">
        <v>173</v>
      </c>
      <c r="N13" s="54" t="s">
        <v>169</v>
      </c>
    </row>
    <row r="14" spans="1:14" x14ac:dyDescent="0.25">
      <c r="A14" s="1">
        <v>1</v>
      </c>
      <c r="B14" s="4" t="s">
        <v>142</v>
      </c>
      <c r="C14" s="1" t="s">
        <v>148</v>
      </c>
      <c r="D14" s="192" t="s">
        <v>1044</v>
      </c>
      <c r="E14" s="192"/>
      <c r="F14" s="1" t="s">
        <v>158</v>
      </c>
      <c r="G14" s="1">
        <v>79700000</v>
      </c>
      <c r="H14" s="1" t="s">
        <v>144</v>
      </c>
      <c r="I14" s="15" t="s">
        <v>159</v>
      </c>
      <c r="J14" s="1" t="s">
        <v>51</v>
      </c>
      <c r="K14" s="8">
        <v>4172819</v>
      </c>
      <c r="L14" s="8">
        <f>K14*0.25</f>
        <v>1043204.75</v>
      </c>
      <c r="M14" s="8">
        <f>K14+L14</f>
        <v>5216023.75</v>
      </c>
      <c r="N14" s="176"/>
    </row>
    <row r="15" spans="1:14" ht="15" customHeight="1" x14ac:dyDescent="0.25">
      <c r="A15" s="177" t="s">
        <v>1012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8">
        <v>83052.399999999994</v>
      </c>
      <c r="N15" s="176"/>
    </row>
    <row r="16" spans="1:14" ht="7.5" customHeight="1" x14ac:dyDescent="0.25">
      <c r="L16" s="47"/>
    </row>
    <row r="17" spans="1:14" ht="15" customHeight="1" x14ac:dyDescent="0.25">
      <c r="A17" s="175" t="s">
        <v>12</v>
      </c>
      <c r="B17" s="175"/>
      <c r="C17" s="175"/>
      <c r="D17" s="175"/>
      <c r="E17" s="175"/>
      <c r="F17" s="175"/>
      <c r="G17" s="175"/>
      <c r="H17" s="175"/>
      <c r="I17" s="175"/>
      <c r="J17" s="175"/>
      <c r="K17" s="49"/>
      <c r="L17" s="49"/>
    </row>
    <row r="18" spans="1:14" ht="48" customHeight="1" x14ac:dyDescent="0.25">
      <c r="A18" s="2" t="s">
        <v>0</v>
      </c>
      <c r="B18" s="3" t="s">
        <v>7</v>
      </c>
      <c r="C18" s="3" t="s">
        <v>6</v>
      </c>
      <c r="D18" s="3" t="s">
        <v>8</v>
      </c>
      <c r="E18" s="3" t="s">
        <v>168</v>
      </c>
      <c r="F18" s="3" t="s">
        <v>174</v>
      </c>
      <c r="G18" s="3" t="s">
        <v>175</v>
      </c>
      <c r="H18" s="3" t="s">
        <v>9</v>
      </c>
      <c r="I18" s="3" t="s">
        <v>176</v>
      </c>
      <c r="J18" s="3" t="s">
        <v>10</v>
      </c>
      <c r="L18" s="48"/>
      <c r="M18" s="48"/>
    </row>
    <row r="19" spans="1:14" ht="48" x14ac:dyDescent="0.25">
      <c r="A19" s="1">
        <v>1</v>
      </c>
      <c r="B19" s="60" t="s">
        <v>188</v>
      </c>
      <c r="C19" s="10" t="str">
        <f>"UGOVOR O NABAVI ZAŠTITARSKIH U"</f>
        <v>UGOVOR O NABAVI ZAŠTITARSKIH U</v>
      </c>
      <c r="D19" s="56">
        <v>43039</v>
      </c>
      <c r="E19" s="56">
        <v>43404</v>
      </c>
      <c r="F19" s="8">
        <v>245104.8</v>
      </c>
      <c r="G19" s="8">
        <v>306381</v>
      </c>
      <c r="H19" s="56">
        <v>43100</v>
      </c>
      <c r="I19" s="24">
        <v>51203.4</v>
      </c>
      <c r="J19" s="70"/>
      <c r="L19" s="112"/>
      <c r="M19" s="112"/>
      <c r="N19" s="112"/>
    </row>
    <row r="20" spans="1:14" ht="36" x14ac:dyDescent="0.25">
      <c r="A20" s="1">
        <v>2</v>
      </c>
      <c r="B20" s="60" t="s">
        <v>189</v>
      </c>
      <c r="C20" s="10" t="str">
        <f>"02-C-U-0874/17-21"</f>
        <v>02-C-U-0874/17-21</v>
      </c>
      <c r="D20" s="56">
        <v>43035</v>
      </c>
      <c r="E20" s="56">
        <v>43404</v>
      </c>
      <c r="F20" s="8">
        <v>385004.79999999999</v>
      </c>
      <c r="G20" s="8">
        <v>481256</v>
      </c>
      <c r="H20" s="56">
        <v>43100</v>
      </c>
      <c r="I20" s="24">
        <v>31849</v>
      </c>
      <c r="J20" s="70"/>
      <c r="L20" s="112"/>
      <c r="M20" s="112"/>
      <c r="N20" s="112"/>
    </row>
    <row r="21" spans="1:14" ht="7.5" customHeight="1" x14ac:dyDescent="0.25"/>
    <row r="22" spans="1:14" x14ac:dyDescent="0.25">
      <c r="A22" s="175" t="s">
        <v>183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</row>
    <row r="23" spans="1:14" ht="36" x14ac:dyDescent="0.25">
      <c r="A23" s="53" t="s">
        <v>0</v>
      </c>
      <c r="B23" s="54" t="s">
        <v>1</v>
      </c>
      <c r="C23" s="54" t="s">
        <v>3</v>
      </c>
      <c r="D23" s="178" t="s">
        <v>171</v>
      </c>
      <c r="E23" s="178"/>
      <c r="F23" s="54" t="s">
        <v>166</v>
      </c>
      <c r="G23" s="54" t="s">
        <v>170</v>
      </c>
      <c r="H23" s="54" t="s">
        <v>167</v>
      </c>
      <c r="I23" s="54" t="s">
        <v>4</v>
      </c>
      <c r="J23" s="54" t="s">
        <v>5</v>
      </c>
      <c r="K23" s="54" t="s">
        <v>2</v>
      </c>
      <c r="L23" s="54" t="s">
        <v>172</v>
      </c>
      <c r="M23" s="54" t="s">
        <v>173</v>
      </c>
      <c r="N23" s="54" t="s">
        <v>169</v>
      </c>
    </row>
    <row r="24" spans="1:14" x14ac:dyDescent="0.25">
      <c r="A24" s="1">
        <v>1</v>
      </c>
      <c r="B24" s="4" t="s">
        <v>142</v>
      </c>
      <c r="C24" s="1" t="s">
        <v>147</v>
      </c>
      <c r="D24" s="192" t="s">
        <v>1045</v>
      </c>
      <c r="E24" s="192"/>
      <c r="F24" s="1" t="s">
        <v>158</v>
      </c>
      <c r="G24" s="1">
        <v>79700000</v>
      </c>
      <c r="H24" s="1" t="s">
        <v>144</v>
      </c>
      <c r="I24" s="15" t="s">
        <v>159</v>
      </c>
      <c r="J24" s="1" t="s">
        <v>51</v>
      </c>
      <c r="K24" s="8">
        <v>4066664.1</v>
      </c>
      <c r="L24" s="8">
        <f>K24*0.25</f>
        <v>1016666.025</v>
      </c>
      <c r="M24" s="8">
        <f>K24+L24</f>
        <v>5083330.125</v>
      </c>
      <c r="N24" s="176"/>
    </row>
    <row r="25" spans="1:14" ht="15" customHeight="1" x14ac:dyDescent="0.25">
      <c r="A25" s="177" t="s">
        <v>1012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24">
        <v>100559.7625</v>
      </c>
      <c r="N25" s="176"/>
    </row>
    <row r="26" spans="1:14" ht="7.5" customHeight="1" x14ac:dyDescent="0.25">
      <c r="L26" s="47"/>
    </row>
    <row r="27" spans="1:14" ht="15" customHeight="1" x14ac:dyDescent="0.25">
      <c r="A27" s="175" t="s">
        <v>12</v>
      </c>
      <c r="B27" s="175"/>
      <c r="C27" s="175"/>
      <c r="D27" s="175"/>
      <c r="E27" s="175"/>
      <c r="F27" s="175"/>
      <c r="G27" s="175"/>
      <c r="H27" s="175"/>
      <c r="I27" s="175"/>
      <c r="J27" s="175"/>
      <c r="K27" s="49"/>
      <c r="L27" s="49"/>
    </row>
    <row r="28" spans="1:14" ht="48" customHeight="1" x14ac:dyDescent="0.25">
      <c r="A28" s="2" t="s">
        <v>0</v>
      </c>
      <c r="B28" s="3" t="s">
        <v>7</v>
      </c>
      <c r="C28" s="3" t="s">
        <v>6</v>
      </c>
      <c r="D28" s="3" t="s">
        <v>8</v>
      </c>
      <c r="E28" s="3" t="s">
        <v>168</v>
      </c>
      <c r="F28" s="3" t="s">
        <v>174</v>
      </c>
      <c r="G28" s="3" t="s">
        <v>175</v>
      </c>
      <c r="H28" s="3" t="s">
        <v>9</v>
      </c>
      <c r="I28" s="3" t="s">
        <v>176</v>
      </c>
      <c r="J28" s="3" t="s">
        <v>10</v>
      </c>
      <c r="L28" s="48"/>
      <c r="M28" s="48"/>
    </row>
    <row r="29" spans="1:14" x14ac:dyDescent="0.25">
      <c r="A29" s="1">
        <v>1</v>
      </c>
      <c r="B29" s="60" t="s">
        <v>278</v>
      </c>
      <c r="C29" s="10" t="str">
        <f>"190/2017"</f>
        <v>190/2017</v>
      </c>
      <c r="D29" s="56">
        <v>43063</v>
      </c>
      <c r="E29" s="56">
        <v>43434</v>
      </c>
      <c r="F29" s="8">
        <v>506718.65</v>
      </c>
      <c r="G29" s="8">
        <v>633398.31000000006</v>
      </c>
      <c r="H29" s="56">
        <v>43100</v>
      </c>
      <c r="I29" s="24">
        <v>0</v>
      </c>
      <c r="J29" s="70"/>
      <c r="L29" s="112"/>
      <c r="M29" s="112"/>
    </row>
    <row r="30" spans="1:14" ht="24" x14ac:dyDescent="0.25">
      <c r="A30" s="1">
        <v>2</v>
      </c>
      <c r="B30" s="60" t="s">
        <v>190</v>
      </c>
      <c r="C30" s="10" t="str">
        <f>"6802/2017"</f>
        <v>6802/2017</v>
      </c>
      <c r="D30" s="56">
        <v>43039</v>
      </c>
      <c r="E30" s="56">
        <v>43404</v>
      </c>
      <c r="F30" s="8">
        <v>604827.6</v>
      </c>
      <c r="G30" s="8">
        <v>756034.5</v>
      </c>
      <c r="H30" s="56">
        <v>43100</v>
      </c>
      <c r="I30" s="24">
        <v>100559.7625</v>
      </c>
      <c r="J30" s="70"/>
      <c r="L30" s="112"/>
      <c r="M30" s="112"/>
    </row>
    <row r="31" spans="1:14" ht="7.5" customHeight="1" x14ac:dyDescent="0.25"/>
    <row r="32" spans="1:14" x14ac:dyDescent="0.25">
      <c r="A32" s="175" t="s">
        <v>183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</row>
    <row r="33" spans="1:14" ht="36" x14ac:dyDescent="0.25">
      <c r="A33" s="53" t="s">
        <v>0</v>
      </c>
      <c r="B33" s="54" t="s">
        <v>1</v>
      </c>
      <c r="C33" s="54" t="s">
        <v>3</v>
      </c>
      <c r="D33" s="178" t="s">
        <v>171</v>
      </c>
      <c r="E33" s="178"/>
      <c r="F33" s="54" t="s">
        <v>166</v>
      </c>
      <c r="G33" s="54" t="s">
        <v>170</v>
      </c>
      <c r="H33" s="54" t="s">
        <v>167</v>
      </c>
      <c r="I33" s="54" t="s">
        <v>4</v>
      </c>
      <c r="J33" s="54" t="s">
        <v>5</v>
      </c>
      <c r="K33" s="54" t="s">
        <v>2</v>
      </c>
      <c r="L33" s="54" t="s">
        <v>172</v>
      </c>
      <c r="M33" s="54" t="s">
        <v>173</v>
      </c>
      <c r="N33" s="54" t="s">
        <v>169</v>
      </c>
    </row>
    <row r="34" spans="1:14" x14ac:dyDescent="0.25">
      <c r="A34" s="1">
        <v>1</v>
      </c>
      <c r="B34" s="4" t="s">
        <v>142</v>
      </c>
      <c r="C34" s="1" t="s">
        <v>146</v>
      </c>
      <c r="D34" s="192" t="s">
        <v>1044</v>
      </c>
      <c r="E34" s="192"/>
      <c r="F34" s="1" t="s">
        <v>158</v>
      </c>
      <c r="G34" s="1">
        <v>79700000</v>
      </c>
      <c r="H34" s="1" t="s">
        <v>144</v>
      </c>
      <c r="I34" s="15" t="s">
        <v>159</v>
      </c>
      <c r="J34" s="1" t="s">
        <v>51</v>
      </c>
      <c r="K34" s="8">
        <v>5317122.9000000004</v>
      </c>
      <c r="L34" s="8">
        <f>K34*0.25</f>
        <v>1329280.7250000001</v>
      </c>
      <c r="M34" s="8">
        <f>K34+L34</f>
        <v>6646403.625</v>
      </c>
      <c r="N34" s="176"/>
    </row>
    <row r="35" spans="1:14" ht="15" customHeight="1" x14ac:dyDescent="0.25">
      <c r="A35" s="177" t="s">
        <v>1012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24">
        <v>4022.125</v>
      </c>
      <c r="N35" s="176"/>
    </row>
    <row r="36" spans="1:14" ht="7.5" customHeight="1" x14ac:dyDescent="0.25">
      <c r="L36" s="47"/>
    </row>
    <row r="37" spans="1:14" ht="15" customHeight="1" x14ac:dyDescent="0.25">
      <c r="A37" s="175" t="s">
        <v>12</v>
      </c>
      <c r="B37" s="175"/>
      <c r="C37" s="175"/>
      <c r="D37" s="175"/>
      <c r="E37" s="175"/>
      <c r="F37" s="175"/>
      <c r="G37" s="175"/>
      <c r="H37" s="175"/>
      <c r="I37" s="175"/>
      <c r="J37" s="175"/>
      <c r="K37" s="49"/>
      <c r="L37" s="49"/>
    </row>
    <row r="38" spans="1:14" ht="48" customHeight="1" x14ac:dyDescent="0.25">
      <c r="A38" s="2" t="s">
        <v>0</v>
      </c>
      <c r="B38" s="3" t="s">
        <v>7</v>
      </c>
      <c r="C38" s="3" t="s">
        <v>6</v>
      </c>
      <c r="D38" s="3" t="s">
        <v>8</v>
      </c>
      <c r="E38" s="3" t="s">
        <v>168</v>
      </c>
      <c r="F38" s="3" t="s">
        <v>174</v>
      </c>
      <c r="G38" s="3" t="s">
        <v>175</v>
      </c>
      <c r="H38" s="3" t="s">
        <v>9</v>
      </c>
      <c r="I38" s="3" t="s">
        <v>176</v>
      </c>
      <c r="J38" s="3" t="s">
        <v>10</v>
      </c>
      <c r="L38" s="48"/>
      <c r="M38" s="48"/>
    </row>
    <row r="39" spans="1:14" ht="24" x14ac:dyDescent="0.25">
      <c r="A39" s="1">
        <v>1</v>
      </c>
      <c r="B39" s="60" t="s">
        <v>204</v>
      </c>
      <c r="C39" s="10" t="str">
        <f>"04/2016-4-17/109-1"</f>
        <v>04/2016-4-17/109-1</v>
      </c>
      <c r="D39" s="56">
        <v>43089</v>
      </c>
      <c r="E39" s="56">
        <v>43465</v>
      </c>
      <c r="F39" s="8">
        <v>493413.31</v>
      </c>
      <c r="G39" s="8">
        <v>616766.64</v>
      </c>
      <c r="H39" s="56">
        <v>43100</v>
      </c>
      <c r="I39" s="24">
        <v>4022.125</v>
      </c>
      <c r="J39" s="70"/>
      <c r="L39" s="112"/>
      <c r="M39" s="112"/>
    </row>
    <row r="40" spans="1:14" ht="7.5" customHeight="1" x14ac:dyDescent="0.25"/>
    <row r="41" spans="1:14" x14ac:dyDescent="0.25">
      <c r="A41" s="175" t="s">
        <v>183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</row>
    <row r="42" spans="1:14" ht="36" x14ac:dyDescent="0.25">
      <c r="A42" s="53" t="s">
        <v>0</v>
      </c>
      <c r="B42" s="54" t="s">
        <v>1</v>
      </c>
      <c r="C42" s="54" t="s">
        <v>3</v>
      </c>
      <c r="D42" s="178" t="s">
        <v>171</v>
      </c>
      <c r="E42" s="178"/>
      <c r="F42" s="54" t="s">
        <v>166</v>
      </c>
      <c r="G42" s="54" t="s">
        <v>170</v>
      </c>
      <c r="H42" s="54" t="s">
        <v>167</v>
      </c>
      <c r="I42" s="54" t="s">
        <v>4</v>
      </c>
      <c r="J42" s="54" t="s">
        <v>5</v>
      </c>
      <c r="K42" s="54" t="s">
        <v>2</v>
      </c>
      <c r="L42" s="54" t="s">
        <v>172</v>
      </c>
      <c r="M42" s="54" t="s">
        <v>173</v>
      </c>
      <c r="N42" s="54" t="s">
        <v>169</v>
      </c>
    </row>
    <row r="43" spans="1:14" x14ac:dyDescent="0.25">
      <c r="A43" s="1">
        <v>1</v>
      </c>
      <c r="B43" s="4" t="s">
        <v>142</v>
      </c>
      <c r="C43" s="1" t="s">
        <v>145</v>
      </c>
      <c r="D43" s="192" t="s">
        <v>1044</v>
      </c>
      <c r="E43" s="192"/>
      <c r="F43" s="1" t="s">
        <v>158</v>
      </c>
      <c r="G43" s="1">
        <v>79700000</v>
      </c>
      <c r="H43" s="1" t="s">
        <v>144</v>
      </c>
      <c r="I43" s="15" t="s">
        <v>159</v>
      </c>
      <c r="J43" s="1" t="s">
        <v>51</v>
      </c>
      <c r="K43" s="8">
        <v>3599460.9</v>
      </c>
      <c r="L43" s="8">
        <f>K43*0.25</f>
        <v>899865.22499999998</v>
      </c>
      <c r="M43" s="8">
        <f>K43+L43</f>
        <v>4499326.125</v>
      </c>
      <c r="N43" s="176"/>
    </row>
    <row r="44" spans="1:14" ht="15" customHeight="1" x14ac:dyDescent="0.25">
      <c r="A44" s="177" t="s">
        <v>1012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24">
        <v>253960.2</v>
      </c>
      <c r="N44" s="176"/>
    </row>
    <row r="45" spans="1:14" ht="7.5" customHeight="1" x14ac:dyDescent="0.25">
      <c r="L45" s="47"/>
    </row>
    <row r="46" spans="1:14" ht="15" customHeight="1" x14ac:dyDescent="0.25">
      <c r="A46" s="175" t="s">
        <v>12</v>
      </c>
      <c r="B46" s="175"/>
      <c r="C46" s="175"/>
      <c r="D46" s="175"/>
      <c r="E46" s="175"/>
      <c r="F46" s="175"/>
      <c r="G46" s="175"/>
      <c r="H46" s="175"/>
      <c r="I46" s="175"/>
      <c r="J46" s="175"/>
      <c r="K46" s="49"/>
      <c r="L46" s="49"/>
    </row>
    <row r="47" spans="1:14" ht="48" customHeight="1" x14ac:dyDescent="0.25">
      <c r="A47" s="2" t="s">
        <v>0</v>
      </c>
      <c r="B47" s="3" t="s">
        <v>7</v>
      </c>
      <c r="C47" s="3" t="s">
        <v>6</v>
      </c>
      <c r="D47" s="3" t="s">
        <v>8</v>
      </c>
      <c r="E47" s="3" t="s">
        <v>168</v>
      </c>
      <c r="F47" s="3" t="s">
        <v>174</v>
      </c>
      <c r="G47" s="3" t="s">
        <v>175</v>
      </c>
      <c r="H47" s="3" t="s">
        <v>9</v>
      </c>
      <c r="I47" s="3" t="s">
        <v>176</v>
      </c>
      <c r="J47" s="3" t="s">
        <v>10</v>
      </c>
      <c r="L47" s="48"/>
      <c r="M47" s="48"/>
    </row>
    <row r="48" spans="1:14" ht="24" x14ac:dyDescent="0.25">
      <c r="A48" s="1">
        <v>1</v>
      </c>
      <c r="B48" s="60" t="s">
        <v>200</v>
      </c>
      <c r="C48" s="10" t="str">
        <f>"533-27-17-0007"</f>
        <v>533-27-17-0007</v>
      </c>
      <c r="D48" s="56">
        <v>43038</v>
      </c>
      <c r="E48" s="56">
        <v>43404</v>
      </c>
      <c r="F48" s="8">
        <v>761594.4</v>
      </c>
      <c r="G48" s="8">
        <v>951993</v>
      </c>
      <c r="H48" s="56">
        <v>43100</v>
      </c>
      <c r="I48" s="24">
        <v>253960.2</v>
      </c>
      <c r="J48" s="70"/>
      <c r="L48" s="112"/>
      <c r="M48" s="112"/>
    </row>
  </sheetData>
  <sheetProtection algorithmName="SHA-512" hashValue="1W0OSd4/j8Mb/cobwuTVRireYz5/8YN7wQ6nrjvdww1yZmQhE/FuTHPHB3jheGp53e3Zmv2DfJc/jmbugUaNwA==" saltValue="MDbmKeMMDoklz0SIbha0fQ==" spinCount="100000" sheet="1" objects="1" scenarios="1"/>
  <mergeCells count="30">
    <mergeCell ref="A6:J6"/>
    <mergeCell ref="A12:N12"/>
    <mergeCell ref="D13:E13"/>
    <mergeCell ref="D14:E14"/>
    <mergeCell ref="D33:E33"/>
    <mergeCell ref="N14:N15"/>
    <mergeCell ref="A15:L15"/>
    <mergeCell ref="A17:J17"/>
    <mergeCell ref="A22:N22"/>
    <mergeCell ref="D23:E23"/>
    <mergeCell ref="D24:E24"/>
    <mergeCell ref="N24:N25"/>
    <mergeCell ref="A25:L25"/>
    <mergeCell ref="A27:J27"/>
    <mergeCell ref="A32:N32"/>
    <mergeCell ref="A1:N1"/>
    <mergeCell ref="D2:E2"/>
    <mergeCell ref="D3:E3"/>
    <mergeCell ref="N3:N4"/>
    <mergeCell ref="A4:L4"/>
    <mergeCell ref="N43:N44"/>
    <mergeCell ref="A44:L44"/>
    <mergeCell ref="A46:J46"/>
    <mergeCell ref="N34:N35"/>
    <mergeCell ref="A35:L35"/>
    <mergeCell ref="A37:J37"/>
    <mergeCell ref="A41:N41"/>
    <mergeCell ref="D42:E42"/>
    <mergeCell ref="D34:E34"/>
    <mergeCell ref="D43:E43"/>
  </mergeCells>
  <pageMargins left="0.23622047244094491" right="0.23622047244094491" top="0.98425196850393704" bottom="0.59055118110236227" header="0.31496062992125984" footer="0.31496062992125984"/>
  <pageSetup scale="69" fitToHeight="0" orientation="landscape" r:id="rId1"/>
  <headerFooter>
    <oddHeader>&amp;L&amp;G&amp;CRegistar okvirnih sporazuma i ugovora za 2016. godinu 
za predmete nabave iz nadležnosti Središnjeg državnog ureda za središnju javnu nabavu</oddHeader>
    <oddFooter>&amp;L&amp;D&amp;C &amp;A&amp;R&amp;P/&amp;N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N192"/>
  <sheetViews>
    <sheetView view="pageLayout" zoomScaleNormal="100" workbookViewId="0">
      <selection sqref="A1:N1"/>
    </sheetView>
  </sheetViews>
  <sheetFormatPr defaultRowHeight="15" x14ac:dyDescent="0.25"/>
  <cols>
    <col min="1" max="1" width="4.85546875" customWidth="1"/>
    <col min="2" max="2" width="26.140625" customWidth="1"/>
    <col min="3" max="3" width="12" customWidth="1"/>
    <col min="4" max="4" width="13.42578125" customWidth="1"/>
    <col min="5" max="5" width="14" customWidth="1"/>
    <col min="6" max="6" width="15.28515625" customWidth="1"/>
    <col min="7" max="10" width="13.5703125" customWidth="1"/>
    <col min="11" max="11" width="14.42578125" customWidth="1"/>
    <col min="12" max="13" width="14.28515625" customWidth="1"/>
    <col min="14" max="14" width="11.42578125" customWidth="1"/>
  </cols>
  <sheetData>
    <row r="1" spans="1:14" x14ac:dyDescent="0.25">
      <c r="A1" s="175" t="s">
        <v>21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36" x14ac:dyDescent="0.25">
      <c r="A2" s="53" t="s">
        <v>0</v>
      </c>
      <c r="B2" s="54" t="s">
        <v>1</v>
      </c>
      <c r="C2" s="54" t="s">
        <v>3</v>
      </c>
      <c r="D2" s="178" t="s">
        <v>171</v>
      </c>
      <c r="E2" s="178"/>
      <c r="F2" s="54" t="s">
        <v>166</v>
      </c>
      <c r="G2" s="54" t="s">
        <v>170</v>
      </c>
      <c r="H2" s="54" t="s">
        <v>167</v>
      </c>
      <c r="I2" s="54" t="s">
        <v>4</v>
      </c>
      <c r="J2" s="54" t="s">
        <v>5</v>
      </c>
      <c r="K2" s="54" t="s">
        <v>2</v>
      </c>
      <c r="L2" s="54" t="s">
        <v>172</v>
      </c>
      <c r="M2" s="54" t="s">
        <v>173</v>
      </c>
      <c r="N2" s="54" t="s">
        <v>169</v>
      </c>
    </row>
    <row r="3" spans="1:14" ht="22.5" customHeight="1" x14ac:dyDescent="0.25">
      <c r="A3" s="1">
        <v>1</v>
      </c>
      <c r="B3" s="4" t="s">
        <v>22</v>
      </c>
      <c r="C3" s="1" t="s">
        <v>23</v>
      </c>
      <c r="D3" s="181" t="s">
        <v>1046</v>
      </c>
      <c r="E3" s="182"/>
      <c r="F3" s="1" t="s">
        <v>67</v>
      </c>
      <c r="G3" s="1" t="s">
        <v>1011</v>
      </c>
      <c r="H3" s="1" t="s">
        <v>15</v>
      </c>
      <c r="I3" s="15">
        <v>42299</v>
      </c>
      <c r="J3" s="1" t="s">
        <v>51</v>
      </c>
      <c r="K3" s="8">
        <v>10920576.08</v>
      </c>
      <c r="L3" s="8">
        <f>K3*0.25</f>
        <v>2730144.02</v>
      </c>
      <c r="M3" s="8">
        <f>K3+L3</f>
        <v>13650720.1</v>
      </c>
      <c r="N3" s="176"/>
    </row>
    <row r="4" spans="1:14" ht="15" customHeight="1" x14ac:dyDescent="0.25">
      <c r="A4" s="177" t="s">
        <v>1012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8">
        <v>6611597.3600000003</v>
      </c>
      <c r="N4" s="176"/>
    </row>
    <row r="5" spans="1:14" ht="7.5" customHeight="1" x14ac:dyDescent="0.25">
      <c r="L5" s="47"/>
    </row>
    <row r="6" spans="1:14" ht="15" customHeight="1" x14ac:dyDescent="0.25">
      <c r="A6" s="175" t="s">
        <v>12</v>
      </c>
      <c r="B6" s="175"/>
      <c r="C6" s="175"/>
      <c r="D6" s="175"/>
      <c r="E6" s="175"/>
      <c r="F6" s="175"/>
      <c r="G6" s="175"/>
      <c r="H6" s="175"/>
      <c r="I6" s="175"/>
      <c r="J6" s="175"/>
      <c r="K6" s="49"/>
      <c r="L6" s="49"/>
    </row>
    <row r="7" spans="1:14" ht="48" customHeight="1" x14ac:dyDescent="0.25">
      <c r="A7" s="2" t="s">
        <v>0</v>
      </c>
      <c r="B7" s="3" t="s">
        <v>7</v>
      </c>
      <c r="C7" s="3" t="s">
        <v>6</v>
      </c>
      <c r="D7" s="3" t="s">
        <v>8</v>
      </c>
      <c r="E7" s="3" t="s">
        <v>168</v>
      </c>
      <c r="F7" s="3" t="s">
        <v>174</v>
      </c>
      <c r="G7" s="3" t="s">
        <v>175</v>
      </c>
      <c r="H7" s="3" t="s">
        <v>9</v>
      </c>
      <c r="I7" s="3" t="s">
        <v>176</v>
      </c>
      <c r="J7" s="3" t="s">
        <v>10</v>
      </c>
      <c r="L7" s="48"/>
      <c r="M7" s="48"/>
    </row>
    <row r="8" spans="1:14" ht="24" x14ac:dyDescent="0.25">
      <c r="A8" s="1">
        <v>1</v>
      </c>
      <c r="B8" s="60" t="s">
        <v>195</v>
      </c>
      <c r="C8" s="10" t="str">
        <f>"MUP-GR9-VŽ"</f>
        <v>MUP-GR9-VŽ</v>
      </c>
      <c r="D8" s="56">
        <v>42486</v>
      </c>
      <c r="E8" s="56">
        <v>42761</v>
      </c>
      <c r="F8" s="8">
        <v>43147.71</v>
      </c>
      <c r="G8" s="8">
        <v>53934.64</v>
      </c>
      <c r="H8" s="56">
        <v>42825</v>
      </c>
      <c r="I8" s="24">
        <v>50871.549999999996</v>
      </c>
      <c r="J8" s="70"/>
      <c r="M8" s="104"/>
    </row>
    <row r="9" spans="1:14" ht="24" x14ac:dyDescent="0.25">
      <c r="A9" s="1">
        <v>2</v>
      </c>
      <c r="B9" s="60" t="s">
        <v>195</v>
      </c>
      <c r="C9" s="10" t="str">
        <f>"MUP-GR7-KA"</f>
        <v>MUP-GR7-KA</v>
      </c>
      <c r="D9" s="56">
        <v>42384</v>
      </c>
      <c r="E9" s="56">
        <v>42750</v>
      </c>
      <c r="F9" s="8">
        <v>48524.56</v>
      </c>
      <c r="G9" s="8">
        <v>60655.7</v>
      </c>
      <c r="H9" s="56">
        <v>42825</v>
      </c>
      <c r="I9" s="24">
        <v>58585.962499999994</v>
      </c>
      <c r="J9" s="70"/>
      <c r="M9" s="104"/>
    </row>
    <row r="10" spans="1:14" ht="24" x14ac:dyDescent="0.25">
      <c r="A10" s="1">
        <v>3</v>
      </c>
      <c r="B10" s="60" t="s">
        <v>195</v>
      </c>
      <c r="C10" s="10" t="str">
        <f>"MUP-GR5-RI"</f>
        <v>MUP-GR5-RI</v>
      </c>
      <c r="D10" s="56">
        <v>42487</v>
      </c>
      <c r="E10" s="56">
        <v>42852</v>
      </c>
      <c r="F10" s="8">
        <v>174645.25</v>
      </c>
      <c r="G10" s="8">
        <v>218306.56</v>
      </c>
      <c r="H10" s="56">
        <v>42825</v>
      </c>
      <c r="I10" s="24">
        <v>165188.9</v>
      </c>
      <c r="J10" s="70"/>
      <c r="M10" s="104"/>
    </row>
    <row r="11" spans="1:14" ht="36" x14ac:dyDescent="0.25">
      <c r="A11" s="1">
        <v>4</v>
      </c>
      <c r="B11" s="60" t="s">
        <v>191</v>
      </c>
      <c r="C11" s="10" t="str">
        <f>"MFIN-406-01/15-01/147,UR 16"</f>
        <v>MFIN-406-01/15-01/147,UR 16</v>
      </c>
      <c r="D11" s="56">
        <v>43011</v>
      </c>
      <c r="E11" s="56">
        <v>43395</v>
      </c>
      <c r="F11" s="8">
        <v>181492.18</v>
      </c>
      <c r="G11" s="8">
        <v>226865.23</v>
      </c>
      <c r="H11" s="56">
        <v>43100</v>
      </c>
      <c r="I11" s="24">
        <v>31292.662500000002</v>
      </c>
      <c r="J11" s="70"/>
      <c r="M11" s="104"/>
    </row>
    <row r="12" spans="1:14" x14ac:dyDescent="0.25">
      <c r="A12" s="1">
        <v>5</v>
      </c>
      <c r="B12" s="60" t="s">
        <v>198</v>
      </c>
      <c r="C12" s="10" t="str">
        <f>"P/15320684"</f>
        <v>P/15320684</v>
      </c>
      <c r="D12" s="56">
        <v>43003</v>
      </c>
      <c r="E12" s="56">
        <v>43395</v>
      </c>
      <c r="F12" s="8">
        <v>280110.40999999997</v>
      </c>
      <c r="G12" s="8">
        <v>350138.01</v>
      </c>
      <c r="H12" s="56">
        <v>43100</v>
      </c>
      <c r="I12" s="24">
        <v>49606.425000000003</v>
      </c>
      <c r="J12" s="70"/>
      <c r="M12" s="104"/>
    </row>
    <row r="13" spans="1:14" x14ac:dyDescent="0.25">
      <c r="A13" s="1">
        <v>6</v>
      </c>
      <c r="B13" s="60" t="s">
        <v>198</v>
      </c>
      <c r="C13" s="10" t="str">
        <f>"P/15320344"</f>
        <v>P/15320344</v>
      </c>
      <c r="D13" s="56">
        <v>43003</v>
      </c>
      <c r="E13" s="56">
        <v>43395</v>
      </c>
      <c r="F13" s="8">
        <v>123449.31</v>
      </c>
      <c r="G13" s="8">
        <v>154311.64000000001</v>
      </c>
      <c r="H13" s="56">
        <v>43100</v>
      </c>
      <c r="I13" s="24">
        <v>9916.0874999999996</v>
      </c>
      <c r="J13" s="70"/>
      <c r="M13" s="104"/>
    </row>
    <row r="14" spans="1:14" x14ac:dyDescent="0.25">
      <c r="A14" s="1">
        <v>7</v>
      </c>
      <c r="B14" s="60" t="s">
        <v>198</v>
      </c>
      <c r="C14" s="10" t="str">
        <f>"P/15320527"</f>
        <v>P/15320527</v>
      </c>
      <c r="D14" s="56">
        <v>43003</v>
      </c>
      <c r="E14" s="56">
        <v>43395</v>
      </c>
      <c r="F14" s="8">
        <v>107974.68</v>
      </c>
      <c r="G14" s="8">
        <v>134968.35</v>
      </c>
      <c r="H14" s="56">
        <v>43100</v>
      </c>
      <c r="I14" s="24">
        <v>12881.637499999999</v>
      </c>
      <c r="J14" s="70"/>
      <c r="M14" s="104"/>
    </row>
    <row r="15" spans="1:14" ht="24" x14ac:dyDescent="0.25">
      <c r="A15" s="1">
        <v>8</v>
      </c>
      <c r="B15" s="60" t="s">
        <v>194</v>
      </c>
      <c r="C15" s="10" t="str">
        <f>"593/17"</f>
        <v>593/17</v>
      </c>
      <c r="D15" s="56">
        <v>43025</v>
      </c>
      <c r="E15" s="56">
        <v>43055</v>
      </c>
      <c r="F15" s="8">
        <v>8770.4</v>
      </c>
      <c r="G15" s="8">
        <v>10963</v>
      </c>
      <c r="H15" s="56">
        <v>43100</v>
      </c>
      <c r="I15" s="24">
        <v>10963</v>
      </c>
      <c r="J15" s="70"/>
      <c r="M15" s="104"/>
    </row>
    <row r="16" spans="1:14" ht="24" x14ac:dyDescent="0.25">
      <c r="A16" s="1">
        <v>9</v>
      </c>
      <c r="B16" s="60" t="s">
        <v>210</v>
      </c>
      <c r="C16" s="10" t="str">
        <f>"PU - 406-01/15-01/255, 17-45"</f>
        <v>PU - 406-01/15-01/255, 17-45</v>
      </c>
      <c r="D16" s="56">
        <v>43029</v>
      </c>
      <c r="E16" s="56">
        <v>43374</v>
      </c>
      <c r="F16" s="8">
        <v>3138915.4</v>
      </c>
      <c r="G16" s="8">
        <v>3923644.25</v>
      </c>
      <c r="H16" s="56">
        <v>43100</v>
      </c>
      <c r="I16" s="24">
        <v>457810.36249999999</v>
      </c>
      <c r="J16" s="70"/>
      <c r="M16" s="104"/>
    </row>
    <row r="17" spans="1:13" ht="24" x14ac:dyDescent="0.25">
      <c r="A17" s="1">
        <v>10</v>
      </c>
      <c r="B17" s="60" t="s">
        <v>195</v>
      </c>
      <c r="C17" s="10" t="str">
        <f>"MUP-PU-GR6"</f>
        <v>MUP-PU-GR6</v>
      </c>
      <c r="D17" s="56">
        <v>42891</v>
      </c>
      <c r="E17" s="56">
        <v>43257</v>
      </c>
      <c r="F17" s="8">
        <v>76800</v>
      </c>
      <c r="G17" s="8">
        <v>96000</v>
      </c>
      <c r="H17" s="56">
        <v>43008</v>
      </c>
      <c r="I17" s="24">
        <v>21057.175000000003</v>
      </c>
      <c r="J17" s="70"/>
      <c r="M17" s="104"/>
    </row>
    <row r="18" spans="1:13" ht="24" x14ac:dyDescent="0.25">
      <c r="A18" s="1">
        <v>11</v>
      </c>
      <c r="B18" s="60" t="s">
        <v>195</v>
      </c>
      <c r="C18" s="10" t="str">
        <f>"MUP-RI-GR5"</f>
        <v>MUP-RI-GR5</v>
      </c>
      <c r="D18" s="56">
        <v>42846</v>
      </c>
      <c r="E18" s="56">
        <v>43395</v>
      </c>
      <c r="F18" s="8">
        <v>177600</v>
      </c>
      <c r="G18" s="8">
        <v>222000</v>
      </c>
      <c r="H18" s="56">
        <v>43008</v>
      </c>
      <c r="I18" s="24">
        <v>104906.33750000001</v>
      </c>
      <c r="J18" s="70"/>
      <c r="M18" s="104"/>
    </row>
    <row r="19" spans="1:13" ht="24" x14ac:dyDescent="0.25">
      <c r="A19" s="1">
        <v>12</v>
      </c>
      <c r="B19" s="60" t="s">
        <v>195</v>
      </c>
      <c r="C19" s="10" t="str">
        <f>"MUP-VZ-GR9"</f>
        <v>MUP-VZ-GR9</v>
      </c>
      <c r="D19" s="56">
        <v>42760</v>
      </c>
      <c r="E19" s="56">
        <v>43212</v>
      </c>
      <c r="F19" s="8">
        <v>57530.32</v>
      </c>
      <c r="G19" s="8">
        <v>71912.899999999994</v>
      </c>
      <c r="H19" s="56">
        <v>43008</v>
      </c>
      <c r="I19" s="24">
        <v>44562.825000000004</v>
      </c>
      <c r="J19" s="70"/>
      <c r="M19" s="104"/>
    </row>
    <row r="20" spans="1:13" ht="24" x14ac:dyDescent="0.25">
      <c r="A20" s="1">
        <v>13</v>
      </c>
      <c r="B20" s="60" t="s">
        <v>195</v>
      </c>
      <c r="C20" s="10" t="str">
        <f>"MUP-KA-GR7"</f>
        <v>MUP-KA-GR7</v>
      </c>
      <c r="D20" s="56">
        <v>42783</v>
      </c>
      <c r="E20" s="56">
        <v>43395</v>
      </c>
      <c r="F20" s="8">
        <v>48524.56</v>
      </c>
      <c r="G20" s="8">
        <v>60655.7</v>
      </c>
      <c r="H20" s="56">
        <v>43008</v>
      </c>
      <c r="I20" s="24">
        <v>39589.012499999997</v>
      </c>
      <c r="J20" s="70"/>
      <c r="M20" s="104"/>
    </row>
    <row r="21" spans="1:13" ht="24" x14ac:dyDescent="0.25">
      <c r="A21" s="1">
        <v>14</v>
      </c>
      <c r="B21" s="60" t="s">
        <v>196</v>
      </c>
      <c r="C21" s="10" t="str">
        <f>"MGPU 7/2015-AS_3"</f>
        <v>MGPU 7/2015-AS_3</v>
      </c>
      <c r="D21" s="56">
        <v>42734</v>
      </c>
      <c r="E21" s="56">
        <v>43030</v>
      </c>
      <c r="F21" s="8">
        <v>56373.82</v>
      </c>
      <c r="G21" s="8">
        <v>70467.28</v>
      </c>
      <c r="H21" s="56">
        <v>43100</v>
      </c>
      <c r="I21" s="24">
        <v>68787.974999999991</v>
      </c>
      <c r="J21" s="70"/>
      <c r="M21" s="104"/>
    </row>
    <row r="22" spans="1:13" ht="24" x14ac:dyDescent="0.25">
      <c r="A22" s="1">
        <v>15</v>
      </c>
      <c r="B22" s="60" t="s">
        <v>203</v>
      </c>
      <c r="C22" s="10" t="str">
        <f>"NARUDŽBENICA 181/2017."</f>
        <v>NARUDŽBENICA 181/2017.</v>
      </c>
      <c r="D22" s="56">
        <v>42786</v>
      </c>
      <c r="E22" s="56">
        <v>43100</v>
      </c>
      <c r="F22" s="8">
        <v>12560.17</v>
      </c>
      <c r="G22" s="8">
        <v>15700.21</v>
      </c>
      <c r="H22" s="56">
        <v>43100</v>
      </c>
      <c r="I22" s="24">
        <v>21558.25</v>
      </c>
      <c r="J22" s="77"/>
      <c r="M22" s="104"/>
    </row>
    <row r="23" spans="1:13" ht="24" x14ac:dyDescent="0.25">
      <c r="A23" s="1">
        <v>16</v>
      </c>
      <c r="B23" s="60" t="s">
        <v>197</v>
      </c>
      <c r="C23" s="10" t="str">
        <f>"U136/16"</f>
        <v>U136/16</v>
      </c>
      <c r="D23" s="56">
        <v>42734</v>
      </c>
      <c r="E23" s="56">
        <v>43100</v>
      </c>
      <c r="F23" s="8">
        <v>5631.6</v>
      </c>
      <c r="G23" s="8">
        <v>7039.5</v>
      </c>
      <c r="H23" s="56">
        <v>43100</v>
      </c>
      <c r="I23" s="24">
        <v>5272.3625000000002</v>
      </c>
      <c r="J23" s="77"/>
      <c r="M23" s="104"/>
    </row>
    <row r="24" spans="1:13" ht="24" x14ac:dyDescent="0.25">
      <c r="A24" s="1">
        <v>17</v>
      </c>
      <c r="B24" s="60" t="s">
        <v>209</v>
      </c>
      <c r="C24" s="10" t="str">
        <f>"DHMZ-3G2-2015"</f>
        <v>DHMZ-3G2-2015</v>
      </c>
      <c r="D24" s="56">
        <v>42740</v>
      </c>
      <c r="E24" s="56">
        <v>43030</v>
      </c>
      <c r="F24" s="8">
        <v>19000</v>
      </c>
      <c r="G24" s="8">
        <v>23750</v>
      </c>
      <c r="H24" s="56">
        <v>43100</v>
      </c>
      <c r="I24" s="24">
        <v>24173.024999999998</v>
      </c>
      <c r="J24" s="77"/>
      <c r="M24" s="104"/>
    </row>
    <row r="25" spans="1:13" ht="24" x14ac:dyDescent="0.25">
      <c r="A25" s="1">
        <v>18</v>
      </c>
      <c r="B25" s="60" t="s">
        <v>205</v>
      </c>
      <c r="C25" s="10" t="str">
        <f>"MRMS-ČIŠĆ-1-2017"</f>
        <v>MRMS-ČIŠĆ-1-2017</v>
      </c>
      <c r="D25" s="56">
        <v>42734</v>
      </c>
      <c r="E25" s="56">
        <v>43039</v>
      </c>
      <c r="F25" s="8">
        <v>100000</v>
      </c>
      <c r="G25" s="8">
        <v>125000</v>
      </c>
      <c r="H25" s="56">
        <v>43100</v>
      </c>
      <c r="I25" s="24">
        <v>125000</v>
      </c>
      <c r="J25" s="77"/>
      <c r="M25" s="104"/>
    </row>
    <row r="26" spans="1:13" ht="24" x14ac:dyDescent="0.25">
      <c r="A26" s="1">
        <v>19</v>
      </c>
      <c r="B26" s="60" t="s">
        <v>187</v>
      </c>
      <c r="C26" s="10" t="str">
        <f>"7/2015-AS-5-U2"</f>
        <v>7/2015-AS-5-U2</v>
      </c>
      <c r="D26" s="56">
        <v>42736</v>
      </c>
      <c r="E26" s="56">
        <v>43100</v>
      </c>
      <c r="F26" s="8">
        <v>4431.5</v>
      </c>
      <c r="G26" s="8">
        <v>5539.38</v>
      </c>
      <c r="H26" s="56">
        <v>42916</v>
      </c>
      <c r="I26" s="24">
        <v>1730.3999999999999</v>
      </c>
      <c r="J26" s="77"/>
      <c r="M26" s="104"/>
    </row>
    <row r="27" spans="1:13" ht="24" x14ac:dyDescent="0.25">
      <c r="A27" s="1">
        <v>20</v>
      </c>
      <c r="B27" s="60" t="s">
        <v>197</v>
      </c>
      <c r="C27" s="10" t="str">
        <f>"U138/16"</f>
        <v>U138/16</v>
      </c>
      <c r="D27" s="56">
        <v>42734</v>
      </c>
      <c r="E27" s="56">
        <v>43100</v>
      </c>
      <c r="F27" s="8">
        <v>6791.68</v>
      </c>
      <c r="G27" s="8">
        <v>8489.6</v>
      </c>
      <c r="H27" s="56">
        <v>43100</v>
      </c>
      <c r="I27" s="24">
        <v>6387.05</v>
      </c>
      <c r="J27" s="77"/>
      <c r="M27" s="104"/>
    </row>
    <row r="28" spans="1:13" ht="24" x14ac:dyDescent="0.25">
      <c r="A28" s="1">
        <v>21</v>
      </c>
      <c r="B28" s="60" t="s">
        <v>197</v>
      </c>
      <c r="C28" s="10" t="str">
        <f>"U137/16"</f>
        <v>U137/16</v>
      </c>
      <c r="D28" s="56">
        <v>42734</v>
      </c>
      <c r="E28" s="56">
        <v>43100</v>
      </c>
      <c r="F28" s="8">
        <v>17449.330000000002</v>
      </c>
      <c r="G28" s="8">
        <v>21811.66</v>
      </c>
      <c r="H28" s="56">
        <v>43100</v>
      </c>
      <c r="I28" s="24">
        <v>15812.174999999999</v>
      </c>
      <c r="J28" s="77"/>
      <c r="M28" s="104"/>
    </row>
    <row r="29" spans="1:13" ht="24" x14ac:dyDescent="0.25">
      <c r="A29" s="1">
        <v>22</v>
      </c>
      <c r="B29" s="60" t="s">
        <v>197</v>
      </c>
      <c r="C29" s="10" t="str">
        <f>"U135/16"</f>
        <v>U135/16</v>
      </c>
      <c r="D29" s="56">
        <v>42734</v>
      </c>
      <c r="E29" s="56">
        <v>43100</v>
      </c>
      <c r="F29" s="8">
        <v>6572.76</v>
      </c>
      <c r="G29" s="8">
        <v>8215.9500000000007</v>
      </c>
      <c r="H29" s="56">
        <v>43100</v>
      </c>
      <c r="I29" s="24">
        <v>5594.3499999999995</v>
      </c>
      <c r="J29" s="77"/>
      <c r="M29" s="104"/>
    </row>
    <row r="30" spans="1:13" ht="24" x14ac:dyDescent="0.25">
      <c r="A30" s="1">
        <v>23</v>
      </c>
      <c r="B30" s="60" t="s">
        <v>197</v>
      </c>
      <c r="C30" s="10" t="str">
        <f>"U134/16"</f>
        <v>U134/16</v>
      </c>
      <c r="D30" s="56">
        <v>42734</v>
      </c>
      <c r="E30" s="56">
        <v>43100</v>
      </c>
      <c r="F30" s="8">
        <v>9339.64</v>
      </c>
      <c r="G30" s="8">
        <v>11674.55</v>
      </c>
      <c r="H30" s="56">
        <v>43100</v>
      </c>
      <c r="I30" s="24">
        <v>8880.4125000000004</v>
      </c>
      <c r="J30" s="77"/>
      <c r="M30" s="104"/>
    </row>
    <row r="31" spans="1:13" ht="24" x14ac:dyDescent="0.25">
      <c r="A31" s="1">
        <v>24</v>
      </c>
      <c r="B31" s="60" t="s">
        <v>197</v>
      </c>
      <c r="C31" s="10" t="str">
        <f>"U133/16"</f>
        <v>U133/16</v>
      </c>
      <c r="D31" s="56">
        <v>42734</v>
      </c>
      <c r="E31" s="56">
        <v>43100</v>
      </c>
      <c r="F31" s="8">
        <v>7870.08</v>
      </c>
      <c r="G31" s="8">
        <v>9837.6</v>
      </c>
      <c r="H31" s="56">
        <v>43100</v>
      </c>
      <c r="I31" s="24">
        <v>7548.1124999999993</v>
      </c>
      <c r="J31" s="77"/>
      <c r="M31" s="104"/>
    </row>
    <row r="32" spans="1:13" ht="24" x14ac:dyDescent="0.25">
      <c r="A32" s="1">
        <v>25</v>
      </c>
      <c r="B32" s="60" t="s">
        <v>197</v>
      </c>
      <c r="C32" s="10" t="str">
        <f>"U132/16"</f>
        <v>U132/16</v>
      </c>
      <c r="D32" s="56">
        <v>42734</v>
      </c>
      <c r="E32" s="56">
        <v>43100</v>
      </c>
      <c r="F32" s="8">
        <v>5293.68</v>
      </c>
      <c r="G32" s="8">
        <v>6617.1</v>
      </c>
      <c r="H32" s="56">
        <v>43100</v>
      </c>
      <c r="I32" s="24">
        <v>4905.4000000000005</v>
      </c>
      <c r="J32" s="77"/>
      <c r="M32" s="104"/>
    </row>
    <row r="33" spans="1:13" ht="24" x14ac:dyDescent="0.25">
      <c r="A33" s="1">
        <v>26</v>
      </c>
      <c r="B33" s="60" t="s">
        <v>197</v>
      </c>
      <c r="C33" s="10" t="str">
        <f>"U131/16"</f>
        <v>U131/16</v>
      </c>
      <c r="D33" s="56">
        <v>42734</v>
      </c>
      <c r="E33" s="56">
        <v>43100</v>
      </c>
      <c r="F33" s="8">
        <v>7205.82</v>
      </c>
      <c r="G33" s="8">
        <v>9007.2800000000007</v>
      </c>
      <c r="H33" s="56">
        <v>43100</v>
      </c>
      <c r="I33" s="24">
        <v>7261.6750000000002</v>
      </c>
      <c r="J33" s="77"/>
      <c r="M33" s="104"/>
    </row>
    <row r="34" spans="1:13" ht="24" x14ac:dyDescent="0.25">
      <c r="A34" s="1">
        <v>27</v>
      </c>
      <c r="B34" s="60" t="s">
        <v>197</v>
      </c>
      <c r="C34" s="10" t="str">
        <f>"U130/16"</f>
        <v>U130/16</v>
      </c>
      <c r="D34" s="56">
        <v>42734</v>
      </c>
      <c r="E34" s="56">
        <v>43100</v>
      </c>
      <c r="F34" s="8">
        <v>12351.77</v>
      </c>
      <c r="G34" s="8">
        <v>15439.71</v>
      </c>
      <c r="H34" s="56">
        <v>43100</v>
      </c>
      <c r="I34" s="24">
        <v>12441.275000000001</v>
      </c>
      <c r="J34" s="77"/>
      <c r="M34" s="104"/>
    </row>
    <row r="35" spans="1:13" ht="24" x14ac:dyDescent="0.25">
      <c r="A35" s="1">
        <v>28</v>
      </c>
      <c r="B35" s="60" t="s">
        <v>197</v>
      </c>
      <c r="C35" s="10" t="str">
        <f>"U129/16"</f>
        <v>U129/16</v>
      </c>
      <c r="D35" s="56">
        <v>42734</v>
      </c>
      <c r="E35" s="56">
        <v>43100</v>
      </c>
      <c r="F35" s="8">
        <v>82398.55</v>
      </c>
      <c r="G35" s="8">
        <v>102998.19</v>
      </c>
      <c r="H35" s="56">
        <v>43100</v>
      </c>
      <c r="I35" s="24">
        <v>82432.25</v>
      </c>
      <c r="J35" s="77"/>
      <c r="M35" s="104"/>
    </row>
    <row r="36" spans="1:13" ht="24" x14ac:dyDescent="0.25">
      <c r="A36" s="1">
        <v>29</v>
      </c>
      <c r="B36" s="60" t="s">
        <v>197</v>
      </c>
      <c r="C36" s="10" t="str">
        <f>"U128/16"</f>
        <v>U128/16</v>
      </c>
      <c r="D36" s="56">
        <v>42734</v>
      </c>
      <c r="E36" s="56">
        <v>43100</v>
      </c>
      <c r="F36" s="8">
        <v>30455.8</v>
      </c>
      <c r="G36" s="8">
        <v>38069.75</v>
      </c>
      <c r="H36" s="56">
        <v>43100</v>
      </c>
      <c r="I36" s="24">
        <v>30870.7</v>
      </c>
      <c r="J36" s="77"/>
      <c r="M36" s="104"/>
    </row>
    <row r="37" spans="1:13" ht="24" x14ac:dyDescent="0.25">
      <c r="A37" s="1">
        <v>30</v>
      </c>
      <c r="B37" s="60" t="s">
        <v>210</v>
      </c>
      <c r="C37" s="10" t="str">
        <f>"GRUPA 8 - UGOVOR BR 2"</f>
        <v>GRUPA 8 - UGOVOR BR 2</v>
      </c>
      <c r="D37" s="56">
        <v>42719</v>
      </c>
      <c r="E37" s="56">
        <v>43039</v>
      </c>
      <c r="F37" s="8">
        <v>84809.7</v>
      </c>
      <c r="G37" s="8">
        <v>106012.13</v>
      </c>
      <c r="H37" s="56">
        <v>43039</v>
      </c>
      <c r="I37" s="24">
        <v>106012.125</v>
      </c>
      <c r="J37" s="77"/>
      <c r="M37" s="104"/>
    </row>
    <row r="38" spans="1:13" ht="24" x14ac:dyDescent="0.25">
      <c r="A38" s="1">
        <v>31</v>
      </c>
      <c r="B38" s="60" t="s">
        <v>210</v>
      </c>
      <c r="C38" s="10" t="str">
        <f>"GRUPA 10 - UGOVOR BR 2"</f>
        <v>GRUPA 10 - UGOVOR BR 2</v>
      </c>
      <c r="D38" s="56">
        <v>42719</v>
      </c>
      <c r="E38" s="56">
        <v>43039</v>
      </c>
      <c r="F38" s="8">
        <v>117274.36</v>
      </c>
      <c r="G38" s="8">
        <v>146592.95000000001</v>
      </c>
      <c r="H38" s="56">
        <v>43039</v>
      </c>
      <c r="I38" s="24">
        <v>146592.95000000001</v>
      </c>
      <c r="J38" s="77"/>
      <c r="M38" s="104"/>
    </row>
    <row r="39" spans="1:13" ht="24" x14ac:dyDescent="0.25">
      <c r="A39" s="1">
        <v>32</v>
      </c>
      <c r="B39" s="60" t="s">
        <v>210</v>
      </c>
      <c r="C39" s="10" t="str">
        <f>"GRUPA 16 - UGOVOR BR 2"</f>
        <v>GRUPA 16 - UGOVOR BR 2</v>
      </c>
      <c r="D39" s="56">
        <v>42719</v>
      </c>
      <c r="E39" s="56">
        <v>43039</v>
      </c>
      <c r="F39" s="8">
        <v>1155042.08</v>
      </c>
      <c r="G39" s="8">
        <v>1443802.6</v>
      </c>
      <c r="H39" s="56">
        <v>43039</v>
      </c>
      <c r="I39" s="24">
        <v>1443802.6</v>
      </c>
      <c r="J39" s="77"/>
      <c r="M39" s="104"/>
    </row>
    <row r="40" spans="1:13" ht="24" x14ac:dyDescent="0.25">
      <c r="A40" s="1">
        <v>33</v>
      </c>
      <c r="B40" s="60" t="s">
        <v>210</v>
      </c>
      <c r="C40" s="10" t="str">
        <f>"GRUPA 2.-UGOVOR BR.2"</f>
        <v>GRUPA 2.-UGOVOR BR.2</v>
      </c>
      <c r="D40" s="56">
        <v>42719</v>
      </c>
      <c r="E40" s="56">
        <v>43039</v>
      </c>
      <c r="F40" s="8">
        <v>327181.32</v>
      </c>
      <c r="G40" s="8">
        <v>408976.65</v>
      </c>
      <c r="H40" s="56">
        <v>43039</v>
      </c>
      <c r="I40" s="24">
        <v>408976.65</v>
      </c>
      <c r="J40" s="77"/>
      <c r="M40" s="104"/>
    </row>
    <row r="41" spans="1:13" ht="24" x14ac:dyDescent="0.25">
      <c r="A41" s="1">
        <v>34</v>
      </c>
      <c r="B41" s="60" t="s">
        <v>210</v>
      </c>
      <c r="C41" s="10" t="str">
        <f>"GRUPA 1 - UGOVOR BR 2"</f>
        <v>GRUPA 1 - UGOVOR BR 2</v>
      </c>
      <c r="D41" s="56">
        <v>42719</v>
      </c>
      <c r="E41" s="56">
        <v>43039</v>
      </c>
      <c r="F41" s="8">
        <v>123352.1</v>
      </c>
      <c r="G41" s="8">
        <v>154190.13</v>
      </c>
      <c r="H41" s="56">
        <v>43039</v>
      </c>
      <c r="I41" s="24">
        <v>154190.125</v>
      </c>
      <c r="J41" s="77"/>
      <c r="M41" s="104"/>
    </row>
    <row r="42" spans="1:13" ht="24" x14ac:dyDescent="0.25">
      <c r="A42" s="1">
        <v>35</v>
      </c>
      <c r="B42" s="60" t="s">
        <v>210</v>
      </c>
      <c r="C42" s="10" t="str">
        <f>"GRUPA 5. - UGOVOR BR 2"</f>
        <v>GRUPA 5. - UGOVOR BR 2</v>
      </c>
      <c r="D42" s="56">
        <v>42719</v>
      </c>
      <c r="E42" s="56">
        <v>43039</v>
      </c>
      <c r="F42" s="8">
        <v>190420.36</v>
      </c>
      <c r="G42" s="8">
        <v>238025.45</v>
      </c>
      <c r="H42" s="56">
        <v>43039</v>
      </c>
      <c r="I42" s="24">
        <v>238025.44999999998</v>
      </c>
      <c r="J42" s="77"/>
      <c r="M42" s="104"/>
    </row>
    <row r="43" spans="1:13" ht="24" x14ac:dyDescent="0.25">
      <c r="A43" s="1">
        <v>36</v>
      </c>
      <c r="B43" s="60" t="s">
        <v>210</v>
      </c>
      <c r="C43" s="10" t="str">
        <f>"GRUPA 6 - UOVOR BR 2"</f>
        <v>GRUPA 6 - UOVOR BR 2</v>
      </c>
      <c r="D43" s="56">
        <v>42719</v>
      </c>
      <c r="E43" s="56">
        <v>43039</v>
      </c>
      <c r="F43" s="8">
        <v>211730.4</v>
      </c>
      <c r="G43" s="8">
        <v>264663</v>
      </c>
      <c r="H43" s="56">
        <v>43039</v>
      </c>
      <c r="I43" s="24">
        <v>264663</v>
      </c>
      <c r="J43" s="77"/>
      <c r="M43" s="104"/>
    </row>
    <row r="44" spans="1:13" ht="24" x14ac:dyDescent="0.25">
      <c r="A44" s="1">
        <v>37</v>
      </c>
      <c r="B44" s="60" t="s">
        <v>210</v>
      </c>
      <c r="C44" s="10" t="str">
        <f>"GRUPA 7 - UGOVOR BR 2"</f>
        <v>GRUPA 7 - UGOVOR BR 2</v>
      </c>
      <c r="D44" s="56">
        <v>42719</v>
      </c>
      <c r="E44" s="56">
        <v>43039</v>
      </c>
      <c r="F44" s="8">
        <v>66943.48</v>
      </c>
      <c r="G44" s="8">
        <v>83679.350000000006</v>
      </c>
      <c r="H44" s="56">
        <v>43039</v>
      </c>
      <c r="I44" s="24">
        <v>83679.349999999991</v>
      </c>
      <c r="J44" s="77"/>
      <c r="M44" s="104"/>
    </row>
    <row r="45" spans="1:13" ht="24" x14ac:dyDescent="0.25">
      <c r="A45" s="1">
        <v>38</v>
      </c>
      <c r="B45" s="60" t="s">
        <v>210</v>
      </c>
      <c r="C45" s="10" t="str">
        <f>"GRUPA 9 - UGOVOR BR 2"</f>
        <v>GRUPA 9 - UGOVOR BR 2</v>
      </c>
      <c r="D45" s="56">
        <v>42719</v>
      </c>
      <c r="E45" s="56">
        <v>43039</v>
      </c>
      <c r="F45" s="8">
        <v>225005.04</v>
      </c>
      <c r="G45" s="8">
        <v>281256.3</v>
      </c>
      <c r="H45" s="56">
        <v>43039</v>
      </c>
      <c r="I45" s="24">
        <v>281256.3</v>
      </c>
      <c r="J45" s="77"/>
      <c r="M45" s="104"/>
    </row>
    <row r="46" spans="1:13" ht="24" x14ac:dyDescent="0.25">
      <c r="A46" s="1">
        <v>39</v>
      </c>
      <c r="B46" s="60" t="s">
        <v>186</v>
      </c>
      <c r="C46" s="10" t="str">
        <f>"406-01/15-01/0170"</f>
        <v>406-01/15-01/0170</v>
      </c>
      <c r="D46" s="56">
        <v>42705</v>
      </c>
      <c r="E46" s="56">
        <v>43069</v>
      </c>
      <c r="F46" s="8">
        <v>94112.76</v>
      </c>
      <c r="G46" s="8">
        <v>117640.95</v>
      </c>
      <c r="H46" s="56">
        <v>43008</v>
      </c>
      <c r="I46" s="24">
        <v>80438.262499999997</v>
      </c>
      <c r="J46" s="77"/>
      <c r="M46" s="104"/>
    </row>
    <row r="47" spans="1:13" ht="36" x14ac:dyDescent="0.25">
      <c r="A47" s="1">
        <v>40</v>
      </c>
      <c r="B47" s="60" t="s">
        <v>191</v>
      </c>
      <c r="C47" s="10" t="str">
        <f>"MFINKL:406-01/15-01/147UR10"</f>
        <v>MFINKL:406-01/15-01/147UR10</v>
      </c>
      <c r="D47" s="56">
        <v>42698</v>
      </c>
      <c r="E47" s="56">
        <v>43030</v>
      </c>
      <c r="F47" s="8">
        <v>173688.97</v>
      </c>
      <c r="G47" s="8">
        <v>217111.21</v>
      </c>
      <c r="H47" s="56">
        <v>43100</v>
      </c>
      <c r="I47" s="24">
        <v>217443.52500000002</v>
      </c>
      <c r="J47" s="77"/>
      <c r="M47" s="104"/>
    </row>
    <row r="48" spans="1:13" x14ac:dyDescent="0.25">
      <c r="A48" s="1">
        <v>41</v>
      </c>
      <c r="B48" s="60" t="s">
        <v>278</v>
      </c>
      <c r="C48" s="10" t="str">
        <f>"160/2016"</f>
        <v>160/2016</v>
      </c>
      <c r="D48" s="56">
        <v>42699</v>
      </c>
      <c r="E48" s="56">
        <v>43030</v>
      </c>
      <c r="F48" s="8">
        <v>69549.820000000007</v>
      </c>
      <c r="G48" s="8">
        <v>86937.279999999999</v>
      </c>
      <c r="H48" s="56">
        <v>43100</v>
      </c>
      <c r="I48" s="24">
        <v>94589.725000000006</v>
      </c>
      <c r="J48" s="77"/>
      <c r="M48" s="104"/>
    </row>
    <row r="49" spans="1:13" x14ac:dyDescent="0.25">
      <c r="A49" s="1">
        <v>42</v>
      </c>
      <c r="B49" s="60" t="s">
        <v>278</v>
      </c>
      <c r="C49" s="10" t="str">
        <f>"159/2016"</f>
        <v>159/2016</v>
      </c>
      <c r="D49" s="56">
        <v>42699</v>
      </c>
      <c r="E49" s="56">
        <v>43030</v>
      </c>
      <c r="F49" s="8">
        <v>74144.86</v>
      </c>
      <c r="G49" s="8">
        <v>92681.08</v>
      </c>
      <c r="H49" s="56">
        <v>43100</v>
      </c>
      <c r="I49" s="24">
        <v>95029.375</v>
      </c>
      <c r="J49" s="77"/>
      <c r="M49" s="104"/>
    </row>
    <row r="50" spans="1:13" x14ac:dyDescent="0.25">
      <c r="A50" s="1">
        <v>43</v>
      </c>
      <c r="B50" s="60" t="s">
        <v>278</v>
      </c>
      <c r="C50" s="10" t="str">
        <f>"155/2016"</f>
        <v>155/2016</v>
      </c>
      <c r="D50" s="56">
        <v>42702</v>
      </c>
      <c r="E50" s="56">
        <v>43030</v>
      </c>
      <c r="F50" s="8">
        <v>30233.88</v>
      </c>
      <c r="G50" s="8">
        <v>37792.35</v>
      </c>
      <c r="H50" s="56">
        <v>43100</v>
      </c>
      <c r="I50" s="24">
        <v>37558.525000000001</v>
      </c>
      <c r="J50" s="77"/>
      <c r="M50" s="104"/>
    </row>
    <row r="51" spans="1:13" x14ac:dyDescent="0.25">
      <c r="A51" s="1">
        <v>44</v>
      </c>
      <c r="B51" s="60" t="s">
        <v>278</v>
      </c>
      <c r="C51" s="10" t="str">
        <f>"158/2016"</f>
        <v>158/2016</v>
      </c>
      <c r="D51" s="56">
        <v>42699</v>
      </c>
      <c r="E51" s="56">
        <v>43030</v>
      </c>
      <c r="F51" s="8">
        <v>39399.160000000003</v>
      </c>
      <c r="G51" s="8">
        <v>49248.95</v>
      </c>
      <c r="H51" s="56">
        <v>43100</v>
      </c>
      <c r="I51" s="24">
        <v>46529.2</v>
      </c>
      <c r="J51" s="77"/>
      <c r="M51" s="104"/>
    </row>
    <row r="52" spans="1:13" x14ac:dyDescent="0.25">
      <c r="A52" s="1">
        <v>45</v>
      </c>
      <c r="B52" s="60" t="s">
        <v>278</v>
      </c>
      <c r="C52" s="10" t="str">
        <f>"156/2016"</f>
        <v>156/2016</v>
      </c>
      <c r="D52" s="56">
        <v>42699</v>
      </c>
      <c r="E52" s="56">
        <v>43030</v>
      </c>
      <c r="F52" s="8">
        <v>48290.76</v>
      </c>
      <c r="G52" s="8">
        <v>60363.45</v>
      </c>
      <c r="H52" s="56">
        <v>43100</v>
      </c>
      <c r="I52" s="24">
        <v>64110.237500000003</v>
      </c>
      <c r="J52" s="77"/>
      <c r="M52" s="104"/>
    </row>
    <row r="53" spans="1:13" x14ac:dyDescent="0.25">
      <c r="A53" s="1">
        <v>46</v>
      </c>
      <c r="B53" s="60" t="s">
        <v>278</v>
      </c>
      <c r="C53" s="10" t="str">
        <f>"157/2016"</f>
        <v>157/2016</v>
      </c>
      <c r="D53" s="56">
        <v>42699</v>
      </c>
      <c r="E53" s="56">
        <v>43030</v>
      </c>
      <c r="F53" s="8">
        <v>25011.040000000001</v>
      </c>
      <c r="G53" s="8">
        <v>31263.8</v>
      </c>
      <c r="H53" s="56">
        <v>43100</v>
      </c>
      <c r="I53" s="24">
        <v>29416.25</v>
      </c>
      <c r="J53" s="77"/>
      <c r="M53" s="104"/>
    </row>
    <row r="54" spans="1:13" x14ac:dyDescent="0.25">
      <c r="A54" s="1">
        <v>47</v>
      </c>
      <c r="B54" s="60" t="s">
        <v>278</v>
      </c>
      <c r="C54" s="10" t="str">
        <f>"154/2016"</f>
        <v>154/2016</v>
      </c>
      <c r="D54" s="56">
        <v>42699</v>
      </c>
      <c r="E54" s="56">
        <v>43030</v>
      </c>
      <c r="F54" s="8">
        <v>47408.72</v>
      </c>
      <c r="G54" s="8">
        <v>59260.9</v>
      </c>
      <c r="H54" s="56">
        <v>43100</v>
      </c>
      <c r="I54" s="24">
        <v>106235.16250000001</v>
      </c>
      <c r="J54" s="77"/>
      <c r="M54" s="104"/>
    </row>
    <row r="55" spans="1:13" ht="36" x14ac:dyDescent="0.25">
      <c r="A55" s="1">
        <v>48</v>
      </c>
      <c r="B55" s="60" t="s">
        <v>192</v>
      </c>
      <c r="C55" s="10" t="str">
        <f>"510/8-C-U-0006/17 -90"</f>
        <v>510/8-C-U-0006/17 -90</v>
      </c>
      <c r="D55" s="56">
        <v>42760</v>
      </c>
      <c r="E55" s="56">
        <v>43048</v>
      </c>
      <c r="F55" s="8">
        <v>14499.28</v>
      </c>
      <c r="G55" s="8">
        <v>18124.099999999999</v>
      </c>
      <c r="H55" s="56">
        <v>43100</v>
      </c>
      <c r="I55" s="24">
        <v>17001.962500000001</v>
      </c>
      <c r="J55" s="77"/>
      <c r="M55" s="104"/>
    </row>
    <row r="56" spans="1:13" x14ac:dyDescent="0.25">
      <c r="A56" s="1">
        <v>49</v>
      </c>
      <c r="B56" s="60" t="s">
        <v>198</v>
      </c>
      <c r="C56" s="10" t="str">
        <f>"P/14560307"</f>
        <v>P/14560307</v>
      </c>
      <c r="D56" s="56">
        <v>42682</v>
      </c>
      <c r="E56" s="56">
        <v>43030</v>
      </c>
      <c r="F56" s="8">
        <v>91311.24</v>
      </c>
      <c r="G56" s="8">
        <v>114139.05</v>
      </c>
      <c r="H56" s="56">
        <v>43100</v>
      </c>
      <c r="I56" s="24">
        <v>97158.737500000003</v>
      </c>
      <c r="J56" s="77"/>
      <c r="M56" s="104"/>
    </row>
    <row r="57" spans="1:13" x14ac:dyDescent="0.25">
      <c r="A57" s="1">
        <v>50</v>
      </c>
      <c r="B57" s="60" t="s">
        <v>198</v>
      </c>
      <c r="C57" s="10" t="str">
        <f>"P/14560912"</f>
        <v>P/14560912</v>
      </c>
      <c r="D57" s="56">
        <v>42668</v>
      </c>
      <c r="E57" s="56">
        <v>43030</v>
      </c>
      <c r="F57" s="8">
        <v>111533.48</v>
      </c>
      <c r="G57" s="8">
        <v>139416.85</v>
      </c>
      <c r="H57" s="56">
        <v>43100</v>
      </c>
      <c r="I57" s="24">
        <v>112886.39999999999</v>
      </c>
      <c r="J57" s="70"/>
      <c r="M57" s="104"/>
    </row>
    <row r="58" spans="1:13" x14ac:dyDescent="0.25">
      <c r="A58" s="1">
        <v>51</v>
      </c>
      <c r="B58" s="60" t="s">
        <v>198</v>
      </c>
      <c r="C58" s="10" t="str">
        <f>"P/14560955"</f>
        <v>P/14560955</v>
      </c>
      <c r="D58" s="56">
        <v>42682</v>
      </c>
      <c r="E58" s="56">
        <v>43030</v>
      </c>
      <c r="F58" s="8">
        <v>294548.37</v>
      </c>
      <c r="G58" s="8">
        <v>368185.46</v>
      </c>
      <c r="H58" s="56">
        <v>43100</v>
      </c>
      <c r="I58" s="24">
        <v>314534.55000000005</v>
      </c>
      <c r="J58" s="70"/>
      <c r="M58" s="104"/>
    </row>
    <row r="59" spans="1:13" ht="24" x14ac:dyDescent="0.25">
      <c r="A59" s="1">
        <v>52</v>
      </c>
      <c r="B59" s="60" t="s">
        <v>206</v>
      </c>
      <c r="C59" s="10" t="str">
        <f>"ĆIŠĆENJE GRUPA 2 SPLIT"</f>
        <v>ĆIŠĆENJE GRUPA 2 SPLIT</v>
      </c>
      <c r="D59" s="56">
        <v>42688</v>
      </c>
      <c r="E59" s="56">
        <v>43039</v>
      </c>
      <c r="F59" s="8">
        <v>17838.8</v>
      </c>
      <c r="G59" s="8">
        <v>22298.5</v>
      </c>
      <c r="H59" s="56">
        <v>43100</v>
      </c>
      <c r="I59" s="24">
        <v>20386.787499999999</v>
      </c>
      <c r="J59" s="70"/>
      <c r="M59" s="104"/>
    </row>
    <row r="60" spans="1:13" ht="36" x14ac:dyDescent="0.25">
      <c r="A60" s="1">
        <v>53</v>
      </c>
      <c r="B60" s="60" t="s">
        <v>206</v>
      </c>
      <c r="C60" s="10" t="str">
        <f>"ĆIŠĆENJE GRUPA 5 RIJEKA"</f>
        <v>ĆIŠĆENJE GRUPA 5 RIJEKA</v>
      </c>
      <c r="D60" s="56">
        <v>42688</v>
      </c>
      <c r="E60" s="56">
        <v>43039</v>
      </c>
      <c r="F60" s="8">
        <v>15954.44</v>
      </c>
      <c r="G60" s="8">
        <v>19943.05</v>
      </c>
      <c r="H60" s="56">
        <v>43039</v>
      </c>
      <c r="I60" s="24">
        <v>17143.2</v>
      </c>
      <c r="J60" s="70"/>
      <c r="M60" s="104"/>
    </row>
    <row r="61" spans="1:13" ht="24" x14ac:dyDescent="0.25">
      <c r="A61" s="1">
        <v>54</v>
      </c>
      <c r="B61" s="60" t="s">
        <v>206</v>
      </c>
      <c r="C61" s="10" t="str">
        <f>"ĆIŠĆENJE  ST"</f>
        <v>ĆIŠĆENJE  ST</v>
      </c>
      <c r="D61" s="56">
        <v>42678</v>
      </c>
      <c r="E61" s="56">
        <v>43030</v>
      </c>
      <c r="F61" s="8">
        <v>17838.8</v>
      </c>
      <c r="G61" s="8">
        <v>22298.5</v>
      </c>
      <c r="H61" s="56">
        <v>43008</v>
      </c>
      <c r="I61" s="24">
        <v>17033.900000000001</v>
      </c>
      <c r="J61" s="70"/>
      <c r="M61" s="104"/>
    </row>
    <row r="62" spans="1:13" ht="24" x14ac:dyDescent="0.25">
      <c r="A62" s="1">
        <v>55</v>
      </c>
      <c r="B62" s="60" t="s">
        <v>206</v>
      </c>
      <c r="C62" s="10" t="str">
        <f>"ĆIŠĆENJE PJ RI"</f>
        <v>ĆIŠĆENJE PJ RI</v>
      </c>
      <c r="D62" s="56">
        <v>42678</v>
      </c>
      <c r="E62" s="56">
        <v>43030</v>
      </c>
      <c r="F62" s="8">
        <v>15954.44</v>
      </c>
      <c r="G62" s="8">
        <v>19943.05</v>
      </c>
      <c r="H62" s="56">
        <v>43100</v>
      </c>
      <c r="I62" s="24">
        <v>16905.099999999999</v>
      </c>
      <c r="J62" s="70"/>
      <c r="M62" s="104"/>
    </row>
    <row r="63" spans="1:13" ht="24" x14ac:dyDescent="0.25">
      <c r="A63" s="1">
        <v>56</v>
      </c>
      <c r="B63" s="60" t="s">
        <v>195</v>
      </c>
      <c r="C63" s="10" t="str">
        <f>"MUP-GR8-SI"</f>
        <v>MUP-GR8-SI</v>
      </c>
      <c r="D63" s="56">
        <v>42665</v>
      </c>
      <c r="E63" s="56">
        <v>43030</v>
      </c>
      <c r="F63" s="8">
        <v>116918.68</v>
      </c>
      <c r="G63" s="8">
        <v>146148.35</v>
      </c>
      <c r="H63" s="56">
        <v>43008</v>
      </c>
      <c r="I63" s="24">
        <v>126294.875</v>
      </c>
      <c r="J63" s="70"/>
      <c r="M63" s="104"/>
    </row>
    <row r="64" spans="1:13" ht="24" x14ac:dyDescent="0.25">
      <c r="A64" s="1">
        <v>57</v>
      </c>
      <c r="B64" s="60" t="s">
        <v>195</v>
      </c>
      <c r="C64" s="10" t="str">
        <f>"MUP-GR6-PU"</f>
        <v>MUP-GR6-PU</v>
      </c>
      <c r="D64" s="56">
        <v>42523</v>
      </c>
      <c r="E64" s="56">
        <v>42888</v>
      </c>
      <c r="F64" s="8">
        <v>70400</v>
      </c>
      <c r="G64" s="8">
        <v>88000</v>
      </c>
      <c r="H64" s="56">
        <v>42916</v>
      </c>
      <c r="I64" s="24">
        <v>89449.55</v>
      </c>
      <c r="J64" s="70"/>
      <c r="M64" s="104"/>
    </row>
    <row r="65" spans="1:14" ht="24" x14ac:dyDescent="0.25">
      <c r="A65" s="1">
        <v>58</v>
      </c>
      <c r="B65" s="60" t="s">
        <v>204</v>
      </c>
      <c r="C65" s="10" t="str">
        <f>"7/2015-AS-16/40-2"</f>
        <v>7/2015-AS-16/40-2</v>
      </c>
      <c r="D65" s="56">
        <v>42452</v>
      </c>
      <c r="E65" s="56">
        <v>43039</v>
      </c>
      <c r="F65" s="8">
        <v>50378.38</v>
      </c>
      <c r="G65" s="8">
        <v>62972.98</v>
      </c>
      <c r="H65" s="56">
        <v>43100</v>
      </c>
      <c r="I65" s="24">
        <v>56861.549999999996</v>
      </c>
      <c r="J65" s="70"/>
      <c r="M65" s="104"/>
    </row>
    <row r="66" spans="1:14" ht="24" x14ac:dyDescent="0.25">
      <c r="A66" s="1">
        <v>59</v>
      </c>
      <c r="B66" s="60" t="s">
        <v>187</v>
      </c>
      <c r="C66" s="10" t="str">
        <f>"7/2015-AS-5-U1"</f>
        <v>7/2015-AS-5-U1</v>
      </c>
      <c r="D66" s="56">
        <v>42355</v>
      </c>
      <c r="E66" s="56">
        <v>42739</v>
      </c>
      <c r="F66" s="8">
        <v>4431.5</v>
      </c>
      <c r="G66" s="8">
        <v>5539.38</v>
      </c>
      <c r="H66" s="56">
        <v>42825</v>
      </c>
      <c r="I66" s="24">
        <v>5313.6875</v>
      </c>
      <c r="J66" s="70"/>
      <c r="M66" s="104"/>
    </row>
    <row r="67" spans="1:14" ht="24" x14ac:dyDescent="0.25">
      <c r="A67" s="1">
        <v>60</v>
      </c>
      <c r="B67" s="60" t="s">
        <v>193</v>
      </c>
      <c r="C67" s="10" t="str">
        <f>"55-20-15-AS-1"</f>
        <v>55-20-15-AS-1</v>
      </c>
      <c r="D67" s="56">
        <v>42324</v>
      </c>
      <c r="E67" s="56">
        <v>43054</v>
      </c>
      <c r="F67" s="8">
        <v>226929.12</v>
      </c>
      <c r="G67" s="8">
        <v>283661.40000000002</v>
      </c>
      <c r="H67" s="56">
        <v>43100</v>
      </c>
      <c r="I67" s="24">
        <v>280005.375</v>
      </c>
      <c r="J67" s="70"/>
      <c r="M67" s="104"/>
    </row>
    <row r="68" spans="1:14" x14ac:dyDescent="0.25">
      <c r="A68" s="1">
        <v>61</v>
      </c>
      <c r="B68" s="60" t="s">
        <v>185</v>
      </c>
      <c r="C68" s="10" t="str">
        <f>"7/2015-11"</f>
        <v>7/2015-11</v>
      </c>
      <c r="D68" s="56">
        <v>42317</v>
      </c>
      <c r="E68" s="56">
        <v>43048</v>
      </c>
      <c r="F68" s="8">
        <v>27462.14</v>
      </c>
      <c r="G68" s="8">
        <v>34327.68</v>
      </c>
      <c r="H68" s="56">
        <v>43100</v>
      </c>
      <c r="I68" s="24">
        <v>41796</v>
      </c>
      <c r="J68" s="70"/>
      <c r="M68" s="104"/>
    </row>
    <row r="69" spans="1:14" x14ac:dyDescent="0.25">
      <c r="A69" s="1">
        <v>62</v>
      </c>
      <c r="B69" s="60" t="s">
        <v>212</v>
      </c>
      <c r="C69" s="10" t="str">
        <f>"7/2015-AS"</f>
        <v>7/2015-AS</v>
      </c>
      <c r="D69" s="56">
        <v>42299</v>
      </c>
      <c r="E69" s="56">
        <v>43029</v>
      </c>
      <c r="F69" s="8">
        <v>6031.63</v>
      </c>
      <c r="G69" s="8">
        <v>7539.54</v>
      </c>
      <c r="H69" s="56">
        <v>43100</v>
      </c>
      <c r="I69" s="24">
        <v>14389.525000000001</v>
      </c>
      <c r="J69" s="70"/>
      <c r="M69" s="104"/>
    </row>
    <row r="70" spans="1:14" ht="7.5" customHeight="1" x14ac:dyDescent="0.25"/>
    <row r="71" spans="1:14" x14ac:dyDescent="0.25">
      <c r="A71" s="175" t="s">
        <v>21</v>
      </c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</row>
    <row r="72" spans="1:14" ht="36" x14ac:dyDescent="0.25">
      <c r="A72" s="53" t="s">
        <v>0</v>
      </c>
      <c r="B72" s="54" t="s">
        <v>1</v>
      </c>
      <c r="C72" s="54" t="s">
        <v>3</v>
      </c>
      <c r="D72" s="178" t="s">
        <v>171</v>
      </c>
      <c r="E72" s="178"/>
      <c r="F72" s="54" t="s">
        <v>166</v>
      </c>
      <c r="G72" s="54" t="s">
        <v>170</v>
      </c>
      <c r="H72" s="54" t="s">
        <v>167</v>
      </c>
      <c r="I72" s="54" t="s">
        <v>4</v>
      </c>
      <c r="J72" s="54" t="s">
        <v>5</v>
      </c>
      <c r="K72" s="54" t="s">
        <v>2</v>
      </c>
      <c r="L72" s="54" t="s">
        <v>172</v>
      </c>
      <c r="M72" s="54" t="s">
        <v>173</v>
      </c>
      <c r="N72" s="54" t="s">
        <v>169</v>
      </c>
    </row>
    <row r="73" spans="1:14" ht="22.5" customHeight="1" x14ac:dyDescent="0.25">
      <c r="A73" s="1">
        <v>1</v>
      </c>
      <c r="B73" s="4" t="s">
        <v>22</v>
      </c>
      <c r="C73" s="1" t="s">
        <v>138</v>
      </c>
      <c r="D73" s="181" t="s">
        <v>1046</v>
      </c>
      <c r="E73" s="182"/>
      <c r="F73" s="1" t="s">
        <v>154</v>
      </c>
      <c r="G73" s="1" t="s">
        <v>1011</v>
      </c>
      <c r="H73" s="1" t="s">
        <v>15</v>
      </c>
      <c r="I73" s="15" t="s">
        <v>157</v>
      </c>
      <c r="J73" s="1" t="s">
        <v>57</v>
      </c>
      <c r="K73" s="8">
        <v>2686406.11</v>
      </c>
      <c r="L73" s="8">
        <f>K73*0.25</f>
        <v>671601.52749999997</v>
      </c>
      <c r="M73" s="8">
        <f>K73+L73</f>
        <v>3358007.6374999997</v>
      </c>
      <c r="N73" s="176"/>
    </row>
    <row r="74" spans="1:14" ht="15" customHeight="1" x14ac:dyDescent="0.25">
      <c r="A74" s="177" t="s">
        <v>1012</v>
      </c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8">
        <v>2297147.1</v>
      </c>
      <c r="N74" s="176"/>
    </row>
    <row r="75" spans="1:14" ht="7.5" customHeight="1" x14ac:dyDescent="0.25">
      <c r="L75" s="47"/>
    </row>
    <row r="76" spans="1:14" ht="15" customHeight="1" x14ac:dyDescent="0.25">
      <c r="A76" s="175" t="s">
        <v>12</v>
      </c>
      <c r="B76" s="175"/>
      <c r="C76" s="175"/>
      <c r="D76" s="175"/>
      <c r="E76" s="175"/>
      <c r="F76" s="175"/>
      <c r="G76" s="175"/>
      <c r="H76" s="175"/>
      <c r="I76" s="175"/>
      <c r="J76" s="175"/>
      <c r="K76" s="49"/>
      <c r="L76" s="49"/>
    </row>
    <row r="77" spans="1:14" ht="48" customHeight="1" x14ac:dyDescent="0.25">
      <c r="A77" s="2" t="s">
        <v>0</v>
      </c>
      <c r="B77" s="3" t="s">
        <v>7</v>
      </c>
      <c r="C77" s="3" t="s">
        <v>6</v>
      </c>
      <c r="D77" s="3" t="s">
        <v>8</v>
      </c>
      <c r="E77" s="3" t="s">
        <v>168</v>
      </c>
      <c r="F77" s="3" t="s">
        <v>174</v>
      </c>
      <c r="G77" s="3" t="s">
        <v>175</v>
      </c>
      <c r="H77" s="3" t="s">
        <v>9</v>
      </c>
      <c r="I77" s="3" t="s">
        <v>176</v>
      </c>
      <c r="J77" s="3" t="s">
        <v>10</v>
      </c>
      <c r="L77" s="48"/>
      <c r="M77" s="48"/>
    </row>
    <row r="78" spans="1:14" x14ac:dyDescent="0.25">
      <c r="A78" s="1">
        <v>1</v>
      </c>
      <c r="B78" s="60" t="s">
        <v>198</v>
      </c>
      <c r="C78" s="10" t="str">
        <f>"P/15551693"</f>
        <v>P/15551693</v>
      </c>
      <c r="D78" s="56">
        <v>43088</v>
      </c>
      <c r="E78" s="56">
        <v>43453</v>
      </c>
      <c r="F78" s="8">
        <v>8660.16</v>
      </c>
      <c r="G78" s="8">
        <v>10825.2</v>
      </c>
      <c r="H78" s="56">
        <v>43100</v>
      </c>
      <c r="I78" s="24">
        <v>0</v>
      </c>
      <c r="J78" s="70"/>
      <c r="L78" s="112"/>
      <c r="M78" s="112"/>
    </row>
    <row r="79" spans="1:14" x14ac:dyDescent="0.25">
      <c r="A79" s="1">
        <v>2</v>
      </c>
      <c r="B79" s="60" t="s">
        <v>198</v>
      </c>
      <c r="C79" s="10" t="str">
        <f>"P/15551426"</f>
        <v>P/15551426</v>
      </c>
      <c r="D79" s="56">
        <v>43088</v>
      </c>
      <c r="E79" s="56">
        <v>43453</v>
      </c>
      <c r="F79" s="8">
        <v>36841.68</v>
      </c>
      <c r="G79" s="8">
        <v>46052.1</v>
      </c>
      <c r="H79" s="56">
        <v>43100</v>
      </c>
      <c r="I79" s="24">
        <v>0</v>
      </c>
      <c r="J79" s="70"/>
      <c r="L79" s="112"/>
      <c r="M79" s="112"/>
    </row>
    <row r="80" spans="1:14" ht="36" x14ac:dyDescent="0.25">
      <c r="A80" s="1">
        <v>3</v>
      </c>
      <c r="B80" s="60" t="s">
        <v>195</v>
      </c>
      <c r="C80" s="10" t="str">
        <f>"MUP-GS-GR2-NARU90/1-2017"</f>
        <v>MUP-GS-GR2-NARU90/1-2017</v>
      </c>
      <c r="D80" s="56">
        <v>43070</v>
      </c>
      <c r="E80" s="56">
        <v>43100</v>
      </c>
      <c r="F80" s="8">
        <v>0</v>
      </c>
      <c r="G80" s="8">
        <v>0</v>
      </c>
      <c r="H80" s="162"/>
      <c r="I80" s="167">
        <v>0</v>
      </c>
      <c r="J80" s="70"/>
      <c r="L80" s="112"/>
      <c r="M80" s="112"/>
    </row>
    <row r="81" spans="1:13" ht="24" x14ac:dyDescent="0.25">
      <c r="A81" s="1">
        <v>4</v>
      </c>
      <c r="B81" s="60" t="s">
        <v>210</v>
      </c>
      <c r="C81" s="10" t="str">
        <f>"PU - 406-01/17-01/05, 17-10"</f>
        <v>PU - 406-01/17-01/05, 17-10</v>
      </c>
      <c r="D81" s="56">
        <v>43087</v>
      </c>
      <c r="E81" s="56">
        <v>43435</v>
      </c>
      <c r="F81" s="8">
        <v>1094338.55</v>
      </c>
      <c r="G81" s="8">
        <v>1367923.19</v>
      </c>
      <c r="H81" s="56">
        <v>43100</v>
      </c>
      <c r="I81" s="24">
        <v>0</v>
      </c>
      <c r="J81" s="70"/>
      <c r="L81" s="112"/>
      <c r="M81" s="112"/>
    </row>
    <row r="82" spans="1:13" ht="24" x14ac:dyDescent="0.25">
      <c r="A82" s="1">
        <v>5</v>
      </c>
      <c r="B82" s="60" t="s">
        <v>195</v>
      </c>
      <c r="C82" s="10" t="str">
        <f>"MUP-VT-GR4-NAR 10"</f>
        <v>MUP-VT-GR4-NAR 10</v>
      </c>
      <c r="D82" s="56">
        <v>42997</v>
      </c>
      <c r="E82" s="56">
        <v>43100</v>
      </c>
      <c r="F82" s="8">
        <v>0</v>
      </c>
      <c r="G82" s="8">
        <v>0</v>
      </c>
      <c r="H82" s="162"/>
      <c r="I82" s="167">
        <v>0</v>
      </c>
      <c r="J82" s="70"/>
      <c r="L82" s="112"/>
      <c r="M82" s="112"/>
    </row>
    <row r="83" spans="1:13" ht="24" x14ac:dyDescent="0.25">
      <c r="A83" s="1">
        <v>6</v>
      </c>
      <c r="B83" s="60" t="s">
        <v>195</v>
      </c>
      <c r="C83" s="10" t="str">
        <f>"MUP-VT-GR4-1.10."</f>
        <v>MUP-VT-GR4-1.10.</v>
      </c>
      <c r="D83" s="56">
        <v>43003</v>
      </c>
      <c r="E83" s="56">
        <v>43100</v>
      </c>
      <c r="F83" s="8">
        <v>25695.279999999999</v>
      </c>
      <c r="G83" s="8">
        <v>32119.1</v>
      </c>
      <c r="H83" s="162"/>
      <c r="I83" s="167">
        <v>0</v>
      </c>
      <c r="J83" s="70"/>
      <c r="L83" s="112"/>
      <c r="M83" s="112"/>
    </row>
    <row r="84" spans="1:13" ht="24" x14ac:dyDescent="0.25">
      <c r="A84" s="1">
        <v>7</v>
      </c>
      <c r="B84" s="60" t="s">
        <v>195</v>
      </c>
      <c r="C84" s="10" t="str">
        <f>"MUP-GS-GR2-NAR85"</f>
        <v>MUP-GS-GR2-NAR85</v>
      </c>
      <c r="D84" s="56">
        <v>43009</v>
      </c>
      <c r="E84" s="56">
        <v>43069</v>
      </c>
      <c r="F84" s="8">
        <v>0</v>
      </c>
      <c r="G84" s="8">
        <v>0</v>
      </c>
      <c r="H84" s="162"/>
      <c r="I84" s="167">
        <v>0</v>
      </c>
      <c r="J84" s="70"/>
      <c r="L84" s="112"/>
      <c r="M84" s="112"/>
    </row>
    <row r="85" spans="1:13" ht="24" x14ac:dyDescent="0.25">
      <c r="A85" s="1">
        <v>8</v>
      </c>
      <c r="B85" s="60" t="s">
        <v>195</v>
      </c>
      <c r="C85" s="10" t="str">
        <f>"MUP-VT-GR4-NAR09"</f>
        <v>MUP-VT-GR4-NAR09</v>
      </c>
      <c r="D85" s="56">
        <v>42992</v>
      </c>
      <c r="E85" s="56">
        <v>43007</v>
      </c>
      <c r="F85" s="8">
        <v>0</v>
      </c>
      <c r="G85" s="8">
        <v>0</v>
      </c>
      <c r="H85" s="162"/>
      <c r="I85" s="167">
        <v>0</v>
      </c>
      <c r="J85" s="70"/>
      <c r="L85" s="112"/>
      <c r="M85" s="112"/>
    </row>
    <row r="86" spans="1:13" ht="24" x14ac:dyDescent="0.25">
      <c r="A86" s="1">
        <v>9</v>
      </c>
      <c r="B86" s="60" t="s">
        <v>195</v>
      </c>
      <c r="C86" s="10" t="str">
        <f>"MUP-GS-GR2-NAR-01.07."</f>
        <v>MUP-GS-GR2-NAR-01.07.</v>
      </c>
      <c r="D86" s="56">
        <v>42917</v>
      </c>
      <c r="E86" s="56">
        <v>43008</v>
      </c>
      <c r="F86" s="8">
        <v>0</v>
      </c>
      <c r="G86" s="8">
        <v>0</v>
      </c>
      <c r="H86" s="56">
        <v>43008</v>
      </c>
      <c r="I86" s="24">
        <v>17714.5</v>
      </c>
      <c r="J86" s="70"/>
      <c r="L86" s="112"/>
      <c r="M86" s="112"/>
    </row>
    <row r="87" spans="1:13" ht="24" x14ac:dyDescent="0.25">
      <c r="A87" s="1">
        <v>10</v>
      </c>
      <c r="B87" s="60" t="s">
        <v>195</v>
      </c>
      <c r="C87" s="10" t="str">
        <f>"MUP-VT-NAR01.07."</f>
        <v>MUP-VT-NAR01.07.</v>
      </c>
      <c r="D87" s="56">
        <v>42906</v>
      </c>
      <c r="E87" s="56">
        <v>43008</v>
      </c>
      <c r="F87" s="8">
        <v>0</v>
      </c>
      <c r="G87" s="8">
        <v>0</v>
      </c>
      <c r="H87" s="162"/>
      <c r="I87" s="167">
        <v>0</v>
      </c>
      <c r="J87" s="70"/>
      <c r="L87" s="112"/>
      <c r="M87" s="112"/>
    </row>
    <row r="88" spans="1:13" ht="24" x14ac:dyDescent="0.25">
      <c r="A88" s="1">
        <v>11</v>
      </c>
      <c r="B88" s="60" t="s">
        <v>195</v>
      </c>
      <c r="C88" s="10" t="str">
        <f>"MUP-VT-GR4-17"</f>
        <v>MUP-VT-GR4-17</v>
      </c>
      <c r="D88" s="56">
        <v>42909</v>
      </c>
      <c r="E88" s="56">
        <v>43008</v>
      </c>
      <c r="F88" s="8">
        <v>26281.200000000001</v>
      </c>
      <c r="G88" s="8">
        <v>32851.5</v>
      </c>
      <c r="H88" s="56">
        <v>43008</v>
      </c>
      <c r="I88" s="24">
        <v>49360.037499999999</v>
      </c>
      <c r="J88" s="70"/>
      <c r="L88" s="112"/>
      <c r="M88" s="112"/>
    </row>
    <row r="89" spans="1:13" ht="24" x14ac:dyDescent="0.25">
      <c r="A89" s="1">
        <v>12</v>
      </c>
      <c r="B89" s="60" t="s">
        <v>195</v>
      </c>
      <c r="C89" s="10" t="str">
        <f>"MUP-VT-GR4-NAR-6M"</f>
        <v>MUP-VT-GR4-NAR-6M</v>
      </c>
      <c r="D89" s="56">
        <v>42886</v>
      </c>
      <c r="E89" s="56">
        <v>42916</v>
      </c>
      <c r="F89" s="8">
        <v>2250</v>
      </c>
      <c r="G89" s="8">
        <v>2812.5</v>
      </c>
      <c r="H89" s="162"/>
      <c r="I89" s="167">
        <v>0</v>
      </c>
      <c r="J89" s="70"/>
      <c r="L89" s="112"/>
      <c r="M89" s="112"/>
    </row>
    <row r="90" spans="1:13" x14ac:dyDescent="0.25">
      <c r="A90" s="1">
        <v>13</v>
      </c>
      <c r="B90" s="60" t="s">
        <v>278</v>
      </c>
      <c r="C90" s="10" t="str">
        <f>"155/2017"</f>
        <v>155/2017</v>
      </c>
      <c r="D90" s="56">
        <v>42998</v>
      </c>
      <c r="E90" s="56">
        <v>43088</v>
      </c>
      <c r="F90" s="8">
        <v>65163.32</v>
      </c>
      <c r="G90" s="8">
        <v>81454.149999999994</v>
      </c>
      <c r="H90" s="56">
        <v>43088</v>
      </c>
      <c r="I90" s="24">
        <v>55445.9</v>
      </c>
      <c r="J90" s="70"/>
      <c r="L90" s="112"/>
      <c r="M90" s="112"/>
    </row>
    <row r="91" spans="1:13" ht="24" x14ac:dyDescent="0.25">
      <c r="A91" s="1">
        <v>14</v>
      </c>
      <c r="B91" s="60" t="s">
        <v>195</v>
      </c>
      <c r="C91" s="10" t="str">
        <f>"MUP-KP-GR10"</f>
        <v>MUP-KP-GR10</v>
      </c>
      <c r="D91" s="56">
        <v>42844</v>
      </c>
      <c r="E91" s="56">
        <v>43202</v>
      </c>
      <c r="F91" s="8">
        <v>16046.98</v>
      </c>
      <c r="G91" s="8">
        <v>20058.73</v>
      </c>
      <c r="H91" s="56">
        <v>43008</v>
      </c>
      <c r="I91" s="24">
        <v>8802.7625000000007</v>
      </c>
      <c r="J91" s="70"/>
      <c r="L91" s="112"/>
      <c r="M91" s="112"/>
    </row>
    <row r="92" spans="1:13" ht="24" x14ac:dyDescent="0.25">
      <c r="A92" s="1">
        <v>15</v>
      </c>
      <c r="B92" s="60" t="s">
        <v>195</v>
      </c>
      <c r="C92" s="10" t="str">
        <f>"MUP-GS-GR2-NAR4-6"</f>
        <v>MUP-GS-GR2-NAR4-6</v>
      </c>
      <c r="D92" s="56">
        <v>42809</v>
      </c>
      <c r="E92" s="56">
        <v>42916</v>
      </c>
      <c r="F92" s="8">
        <v>48000</v>
      </c>
      <c r="G92" s="8">
        <v>60000</v>
      </c>
      <c r="H92" s="56">
        <v>42916</v>
      </c>
      <c r="I92" s="24">
        <v>16993.5625</v>
      </c>
      <c r="J92" s="70"/>
      <c r="L92" s="112"/>
      <c r="M92" s="112"/>
    </row>
    <row r="93" spans="1:13" ht="24" x14ac:dyDescent="0.25">
      <c r="A93" s="1">
        <v>16</v>
      </c>
      <c r="B93" s="60" t="s">
        <v>195</v>
      </c>
      <c r="C93" s="10" t="str">
        <f>"MUP-VT-GR4-4-6M"</f>
        <v>MUP-VT-GR4-4-6M</v>
      </c>
      <c r="D93" s="56">
        <v>42821</v>
      </c>
      <c r="E93" s="56">
        <v>42916</v>
      </c>
      <c r="F93" s="8">
        <v>31304.63</v>
      </c>
      <c r="G93" s="8">
        <v>39130.79</v>
      </c>
      <c r="H93" s="56">
        <v>42916</v>
      </c>
      <c r="I93" s="24">
        <v>33761.799999999996</v>
      </c>
      <c r="J93" s="70"/>
      <c r="L93" s="112"/>
      <c r="M93" s="112"/>
    </row>
    <row r="94" spans="1:13" ht="24" x14ac:dyDescent="0.25">
      <c r="A94" s="1">
        <v>17</v>
      </c>
      <c r="B94" s="60" t="s">
        <v>195</v>
      </c>
      <c r="C94" s="10" t="str">
        <f>"MUP-ST-GR2-DODATAK I"</f>
        <v>MUP-ST-GR2-DODATAK I</v>
      </c>
      <c r="D94" s="56">
        <v>42831</v>
      </c>
      <c r="E94" s="56">
        <v>43100</v>
      </c>
      <c r="F94" s="8">
        <v>41436.99</v>
      </c>
      <c r="G94" s="8">
        <v>51796.24</v>
      </c>
      <c r="H94" s="162"/>
      <c r="I94" s="167">
        <v>0</v>
      </c>
      <c r="J94" s="70"/>
      <c r="L94" s="112"/>
      <c r="M94" s="112"/>
    </row>
    <row r="95" spans="1:13" ht="24" x14ac:dyDescent="0.25">
      <c r="A95" s="1">
        <v>18</v>
      </c>
      <c r="B95" s="60" t="s">
        <v>195</v>
      </c>
      <c r="C95" s="10" t="str">
        <f>"MUP-ST-GR2"</f>
        <v>MUP-ST-GR2</v>
      </c>
      <c r="D95" s="56">
        <v>42824</v>
      </c>
      <c r="E95" s="56">
        <v>43191</v>
      </c>
      <c r="F95" s="8">
        <v>26229.200000000001</v>
      </c>
      <c r="G95" s="8">
        <v>32786.5</v>
      </c>
      <c r="H95" s="56">
        <v>43008</v>
      </c>
      <c r="I95" s="24">
        <v>33065.800000000003</v>
      </c>
      <c r="J95" s="70"/>
      <c r="L95" s="112"/>
      <c r="M95" s="112"/>
    </row>
    <row r="96" spans="1:13" ht="24" x14ac:dyDescent="0.25">
      <c r="A96" s="1">
        <v>19</v>
      </c>
      <c r="B96" s="60" t="s">
        <v>18</v>
      </c>
      <c r="C96" s="10" t="str">
        <f>"SNUG-202-17-0010"</f>
        <v>SNUG-202-17-0010</v>
      </c>
      <c r="D96" s="56">
        <v>42801</v>
      </c>
      <c r="E96" s="56">
        <v>43100</v>
      </c>
      <c r="F96" s="8">
        <v>71367.320000000007</v>
      </c>
      <c r="G96" s="8">
        <v>89209.15</v>
      </c>
      <c r="H96" s="56">
        <v>43100</v>
      </c>
      <c r="I96" s="24">
        <v>4029.3374999999996</v>
      </c>
      <c r="J96" s="70"/>
      <c r="L96" s="112"/>
      <c r="M96" s="112"/>
    </row>
    <row r="97" spans="1:13" ht="24" x14ac:dyDescent="0.25">
      <c r="A97" s="1">
        <v>20</v>
      </c>
      <c r="B97" s="60" t="s">
        <v>195</v>
      </c>
      <c r="C97" s="10" t="str">
        <f>"MUP-OS-GR 5 D.MIHOLJAC"</f>
        <v>MUP-OS-GR 5 D.MIHOLJAC</v>
      </c>
      <c r="D97" s="56">
        <v>42807</v>
      </c>
      <c r="E97" s="56">
        <v>43172</v>
      </c>
      <c r="F97" s="8">
        <v>64152.12</v>
      </c>
      <c r="G97" s="8">
        <v>80190.149999999994</v>
      </c>
      <c r="H97" s="56">
        <v>43008</v>
      </c>
      <c r="I97" s="24">
        <v>39350.762499999997</v>
      </c>
      <c r="J97" s="70"/>
      <c r="L97" s="112"/>
      <c r="M97" s="112"/>
    </row>
    <row r="98" spans="1:13" ht="24" x14ac:dyDescent="0.25">
      <c r="A98" s="1">
        <v>21</v>
      </c>
      <c r="B98" s="60" t="s">
        <v>195</v>
      </c>
      <c r="C98" s="10" t="str">
        <f>"MUP-VT-GR4-3M"</f>
        <v>MUP-VT-GR4-3M</v>
      </c>
      <c r="D98" s="56">
        <v>42789</v>
      </c>
      <c r="E98" s="56">
        <v>42825</v>
      </c>
      <c r="F98" s="8">
        <v>9234.93</v>
      </c>
      <c r="G98" s="8">
        <v>11543.66</v>
      </c>
      <c r="H98" s="56">
        <v>42825</v>
      </c>
      <c r="I98" s="24">
        <v>11543.6625</v>
      </c>
      <c r="J98" s="70"/>
      <c r="L98" s="112"/>
      <c r="M98" s="112"/>
    </row>
    <row r="99" spans="1:13" ht="24" x14ac:dyDescent="0.25">
      <c r="A99" s="1">
        <v>22</v>
      </c>
      <c r="B99" s="60" t="s">
        <v>195</v>
      </c>
      <c r="C99" s="10" t="str">
        <f>"MUP-PŽ-GR4"</f>
        <v>MUP-PŽ-GR4</v>
      </c>
      <c r="D99" s="56">
        <v>42762</v>
      </c>
      <c r="E99" s="56">
        <v>43132</v>
      </c>
      <c r="F99" s="8">
        <v>79868.039999999994</v>
      </c>
      <c r="G99" s="8">
        <v>99835.05</v>
      </c>
      <c r="H99" s="56">
        <v>43008</v>
      </c>
      <c r="I99" s="24">
        <v>52326.212500000001</v>
      </c>
      <c r="J99" s="70"/>
      <c r="L99" s="112"/>
      <c r="M99" s="112"/>
    </row>
    <row r="100" spans="1:13" ht="24" x14ac:dyDescent="0.25">
      <c r="A100" s="1">
        <v>23</v>
      </c>
      <c r="B100" s="60" t="s">
        <v>195</v>
      </c>
      <c r="C100" s="10" t="str">
        <f>"MUP-VK-GR6"</f>
        <v>MUP-VK-GR6</v>
      </c>
      <c r="D100" s="56">
        <v>42762</v>
      </c>
      <c r="E100" s="56">
        <v>43132</v>
      </c>
      <c r="F100" s="8">
        <v>168974.46</v>
      </c>
      <c r="G100" s="8">
        <v>211218.08</v>
      </c>
      <c r="H100" s="56">
        <v>43008</v>
      </c>
      <c r="I100" s="24">
        <v>132554.01250000001</v>
      </c>
      <c r="J100" s="70"/>
      <c r="L100" s="112"/>
      <c r="M100" s="112"/>
    </row>
    <row r="101" spans="1:13" ht="36" x14ac:dyDescent="0.25">
      <c r="A101" s="1">
        <v>24</v>
      </c>
      <c r="B101" s="60" t="s">
        <v>210</v>
      </c>
      <c r="C101" s="10" t="str">
        <f>"KLASA:406-01/17-01/05, URBR:4"</f>
        <v>KLASA:406-01/17-01/05, URBR:4</v>
      </c>
      <c r="D101" s="56">
        <v>42760</v>
      </c>
      <c r="E101" s="56">
        <v>43100</v>
      </c>
      <c r="F101" s="8">
        <v>237126.78</v>
      </c>
      <c r="G101" s="8">
        <v>296408.48</v>
      </c>
      <c r="H101" s="56">
        <v>43100</v>
      </c>
      <c r="I101" s="24">
        <v>231277.6875</v>
      </c>
      <c r="J101" s="70"/>
      <c r="L101" s="112"/>
      <c r="M101" s="112"/>
    </row>
    <row r="102" spans="1:13" ht="36" x14ac:dyDescent="0.25">
      <c r="A102" s="1">
        <v>25</v>
      </c>
      <c r="B102" s="60" t="s">
        <v>210</v>
      </c>
      <c r="C102" s="10" t="str">
        <f>"KLASA:406-01/17-01/05, URBR:3"</f>
        <v>KLASA:406-01/17-01/05, URBR:3</v>
      </c>
      <c r="D102" s="56">
        <v>42760</v>
      </c>
      <c r="E102" s="56">
        <v>43100</v>
      </c>
      <c r="F102" s="8">
        <v>107214.93</v>
      </c>
      <c r="G102" s="8">
        <v>134018.66</v>
      </c>
      <c r="H102" s="56">
        <v>43100</v>
      </c>
      <c r="I102" s="24">
        <v>103263.71249999999</v>
      </c>
      <c r="J102" s="70"/>
      <c r="L102" s="112"/>
      <c r="M102" s="112"/>
    </row>
    <row r="103" spans="1:13" ht="36" x14ac:dyDescent="0.25">
      <c r="A103" s="1">
        <v>26</v>
      </c>
      <c r="B103" s="60" t="s">
        <v>210</v>
      </c>
      <c r="C103" s="10" t="str">
        <f>"KLASA:406-01/17-01/05, URBR:5"</f>
        <v>KLASA:406-01/17-01/05, URBR:5</v>
      </c>
      <c r="D103" s="56">
        <v>42760</v>
      </c>
      <c r="E103" s="56">
        <v>43100</v>
      </c>
      <c r="F103" s="8">
        <v>161731.92000000001</v>
      </c>
      <c r="G103" s="8">
        <v>202164.9</v>
      </c>
      <c r="H103" s="56">
        <v>43100</v>
      </c>
      <c r="I103" s="24">
        <v>153230.70000000001</v>
      </c>
      <c r="J103" s="70"/>
      <c r="L103" s="112"/>
      <c r="M103" s="112"/>
    </row>
    <row r="104" spans="1:13" ht="36" x14ac:dyDescent="0.25">
      <c r="A104" s="1">
        <v>27</v>
      </c>
      <c r="B104" s="60" t="s">
        <v>210</v>
      </c>
      <c r="C104" s="10" t="str">
        <f>"KLASA:406-01/17-01/05, URBR:8"</f>
        <v>KLASA:406-01/17-01/05, URBR:8</v>
      </c>
      <c r="D104" s="56">
        <v>42760</v>
      </c>
      <c r="E104" s="56">
        <v>43100</v>
      </c>
      <c r="F104" s="8">
        <v>155714.51999999999</v>
      </c>
      <c r="G104" s="8">
        <v>194643.15</v>
      </c>
      <c r="H104" s="56">
        <v>43100</v>
      </c>
      <c r="I104" s="24">
        <v>151596.1</v>
      </c>
      <c r="J104" s="70"/>
      <c r="L104" s="112"/>
      <c r="M104" s="112"/>
    </row>
    <row r="105" spans="1:13" ht="36" x14ac:dyDescent="0.25">
      <c r="A105" s="1">
        <v>28</v>
      </c>
      <c r="B105" s="60" t="s">
        <v>210</v>
      </c>
      <c r="C105" s="10" t="str">
        <f>"KLASA:406-01/17-01/05, URBR:7"</f>
        <v>KLASA:406-01/17-01/05, URBR:7</v>
      </c>
      <c r="D105" s="56">
        <v>42760</v>
      </c>
      <c r="E105" s="56">
        <v>43100</v>
      </c>
      <c r="F105" s="8">
        <v>201841.66</v>
      </c>
      <c r="G105" s="8">
        <v>252302.07999999999</v>
      </c>
      <c r="H105" s="56">
        <v>43100</v>
      </c>
      <c r="I105" s="24">
        <v>187276.27499999999</v>
      </c>
      <c r="J105" s="70"/>
      <c r="L105" s="112"/>
      <c r="M105" s="112"/>
    </row>
    <row r="106" spans="1:13" ht="36" x14ac:dyDescent="0.25">
      <c r="A106" s="1">
        <v>29</v>
      </c>
      <c r="B106" s="60" t="s">
        <v>210</v>
      </c>
      <c r="C106" s="10" t="str">
        <f>"KLASA:406-01/17-01/05, URBR:6"</f>
        <v>KLASA:406-01/17-01/05, URBR:6</v>
      </c>
      <c r="D106" s="56">
        <v>42760</v>
      </c>
      <c r="E106" s="56">
        <v>43100</v>
      </c>
      <c r="F106" s="8">
        <v>221865.88</v>
      </c>
      <c r="G106" s="8">
        <v>277332.34999999998</v>
      </c>
      <c r="H106" s="56">
        <v>43100</v>
      </c>
      <c r="I106" s="24">
        <v>221668.08749999999</v>
      </c>
      <c r="J106" s="70"/>
      <c r="L106" s="112"/>
      <c r="M106" s="112"/>
    </row>
    <row r="107" spans="1:13" ht="36" x14ac:dyDescent="0.25">
      <c r="A107" s="1">
        <v>30</v>
      </c>
      <c r="B107" s="60" t="s">
        <v>185</v>
      </c>
      <c r="C107" s="10" t="str">
        <f>"2/2016-AS UGOVOR GRUPE 1,2,5,6"</f>
        <v>2/2016-AS UGOVOR GRUPE 1,2,5,6</v>
      </c>
      <c r="D107" s="56">
        <v>42766</v>
      </c>
      <c r="E107" s="56">
        <v>43088</v>
      </c>
      <c r="F107" s="8">
        <v>9116</v>
      </c>
      <c r="G107" s="8">
        <v>11395</v>
      </c>
      <c r="H107" s="56">
        <v>43088</v>
      </c>
      <c r="I107" s="24">
        <v>7611.4624999999996</v>
      </c>
      <c r="J107" s="70"/>
      <c r="L107" s="112"/>
      <c r="M107" s="112"/>
    </row>
    <row r="108" spans="1:13" ht="24" x14ac:dyDescent="0.25">
      <c r="A108" s="1">
        <v>31</v>
      </c>
      <c r="B108" s="60" t="s">
        <v>195</v>
      </c>
      <c r="C108" s="10" t="str">
        <f>"MUP-VT-GR4"</f>
        <v>MUP-VT-GR4</v>
      </c>
      <c r="D108" s="56">
        <v>42767</v>
      </c>
      <c r="E108" s="56">
        <v>42794</v>
      </c>
      <c r="F108" s="8">
        <v>7996.44</v>
      </c>
      <c r="G108" s="8">
        <v>9995.5499999999993</v>
      </c>
      <c r="H108" s="56">
        <v>42825</v>
      </c>
      <c r="I108" s="24">
        <v>9835.0499999999993</v>
      </c>
      <c r="J108" s="70"/>
      <c r="L108" s="112"/>
      <c r="M108" s="112"/>
    </row>
    <row r="109" spans="1:13" ht="24" x14ac:dyDescent="0.25">
      <c r="A109" s="1">
        <v>32</v>
      </c>
      <c r="B109" s="60" t="s">
        <v>186</v>
      </c>
      <c r="C109" s="10" t="str">
        <f>"406-01/16-01/0198"</f>
        <v>406-01/16-01/0198</v>
      </c>
      <c r="D109" s="56">
        <v>42759</v>
      </c>
      <c r="E109" s="56">
        <v>43123</v>
      </c>
      <c r="F109" s="8">
        <v>89433.24</v>
      </c>
      <c r="G109" s="8">
        <v>111791.55</v>
      </c>
      <c r="H109" s="56">
        <v>43008</v>
      </c>
      <c r="I109" s="24">
        <v>66475.112499999988</v>
      </c>
      <c r="J109" s="70"/>
      <c r="L109" s="112"/>
      <c r="M109" s="112"/>
    </row>
    <row r="110" spans="1:13" ht="24" x14ac:dyDescent="0.25">
      <c r="A110" s="1">
        <v>33</v>
      </c>
      <c r="B110" s="60" t="s">
        <v>195</v>
      </c>
      <c r="C110" s="10" t="str">
        <f>"MUP-OS-GR5-DALJ"</f>
        <v>MUP-OS-GR5-DALJ</v>
      </c>
      <c r="D110" s="56">
        <v>42754</v>
      </c>
      <c r="E110" s="56">
        <v>43109</v>
      </c>
      <c r="F110" s="8">
        <v>15613</v>
      </c>
      <c r="G110" s="8">
        <v>19516.25</v>
      </c>
      <c r="H110" s="56">
        <v>43008</v>
      </c>
      <c r="I110" s="24">
        <v>10832.5</v>
      </c>
      <c r="J110" s="70"/>
      <c r="L110" s="112"/>
      <c r="M110" s="112"/>
    </row>
    <row r="111" spans="1:13" ht="24" x14ac:dyDescent="0.25">
      <c r="A111" s="1">
        <v>34</v>
      </c>
      <c r="B111" s="60" t="s">
        <v>195</v>
      </c>
      <c r="C111" s="10" t="str">
        <f>"MUP-OS-GR5-NAŠICE"</f>
        <v>MUP-OS-GR5-NAŠICE</v>
      </c>
      <c r="D111" s="56">
        <v>42754</v>
      </c>
      <c r="E111" s="56">
        <v>43109</v>
      </c>
      <c r="F111" s="8">
        <v>35571.599999999999</v>
      </c>
      <c r="G111" s="8">
        <v>44464.5</v>
      </c>
      <c r="H111" s="56">
        <v>43008</v>
      </c>
      <c r="I111" s="24">
        <v>23744.512500000001</v>
      </c>
      <c r="J111" s="70"/>
      <c r="L111" s="112"/>
      <c r="M111" s="112"/>
    </row>
    <row r="112" spans="1:13" ht="24" x14ac:dyDescent="0.25">
      <c r="A112" s="1">
        <v>35</v>
      </c>
      <c r="B112" s="60" t="s">
        <v>195</v>
      </c>
      <c r="C112" s="10" t="str">
        <f>"MUP-OS-GR5-ČEPIN"</f>
        <v>MUP-OS-GR5-ČEPIN</v>
      </c>
      <c r="D112" s="56">
        <v>42754</v>
      </c>
      <c r="E112" s="56">
        <v>43109</v>
      </c>
      <c r="F112" s="8">
        <v>8769.4</v>
      </c>
      <c r="G112" s="8">
        <v>10961.75</v>
      </c>
      <c r="H112" s="56">
        <v>43008</v>
      </c>
      <c r="I112" s="24">
        <v>5684.25</v>
      </c>
      <c r="J112" s="70"/>
      <c r="L112" s="112"/>
      <c r="M112" s="112"/>
    </row>
    <row r="113" spans="1:13" ht="24" x14ac:dyDescent="0.25">
      <c r="A113" s="1">
        <v>36</v>
      </c>
      <c r="B113" s="60" t="s">
        <v>195</v>
      </c>
      <c r="C113" s="10" t="str">
        <f>"MUP-OS-GR5-B.MANASTIR"</f>
        <v>MUP-OS-GR5-B.MANASTIR</v>
      </c>
      <c r="D113" s="56">
        <v>42754</v>
      </c>
      <c r="E113" s="56">
        <v>43109</v>
      </c>
      <c r="F113" s="8">
        <v>16378</v>
      </c>
      <c r="G113" s="8">
        <v>20472.5</v>
      </c>
      <c r="H113" s="56">
        <v>43008</v>
      </c>
      <c r="I113" s="24">
        <v>12919.362499999999</v>
      </c>
      <c r="J113" s="70"/>
      <c r="L113" s="112"/>
      <c r="M113" s="112"/>
    </row>
    <row r="114" spans="1:13" ht="24" x14ac:dyDescent="0.25">
      <c r="A114" s="1">
        <v>37</v>
      </c>
      <c r="B114" s="60" t="s">
        <v>195</v>
      </c>
      <c r="C114" s="10" t="str">
        <f>"MUP-ZD-GR2"</f>
        <v>MUP-ZD-GR2</v>
      </c>
      <c r="D114" s="56">
        <v>42754</v>
      </c>
      <c r="E114" s="56">
        <v>43109</v>
      </c>
      <c r="F114" s="8">
        <v>26054.48</v>
      </c>
      <c r="G114" s="8">
        <v>32568.1</v>
      </c>
      <c r="H114" s="56">
        <v>43008</v>
      </c>
      <c r="I114" s="24">
        <v>21423.724999999999</v>
      </c>
      <c r="J114" s="70"/>
      <c r="L114" s="112"/>
      <c r="M114" s="112"/>
    </row>
    <row r="115" spans="1:13" ht="24" x14ac:dyDescent="0.25">
      <c r="A115" s="1">
        <v>38</v>
      </c>
      <c r="B115" s="60" t="s">
        <v>205</v>
      </c>
      <c r="C115" s="10" t="str">
        <f>"MRMS-ČIŠĆ2-2017"</f>
        <v>MRMS-ČIŠĆ2-2017</v>
      </c>
      <c r="D115" s="56">
        <v>42739</v>
      </c>
      <c r="E115" s="56">
        <v>43100</v>
      </c>
      <c r="F115" s="8">
        <v>72000</v>
      </c>
      <c r="G115" s="8">
        <v>90000</v>
      </c>
      <c r="H115" s="56">
        <v>43100</v>
      </c>
      <c r="I115" s="24">
        <v>101909</v>
      </c>
      <c r="J115" s="70"/>
      <c r="L115" s="112"/>
      <c r="M115" s="112"/>
    </row>
    <row r="116" spans="1:13" ht="24" x14ac:dyDescent="0.25">
      <c r="A116" s="1">
        <v>39</v>
      </c>
      <c r="B116" s="60" t="s">
        <v>195</v>
      </c>
      <c r="C116" s="10" t="str">
        <f>"MUP-GS-GR2"</f>
        <v>MUP-GS-GR2</v>
      </c>
      <c r="D116" s="56">
        <v>42737</v>
      </c>
      <c r="E116" s="56">
        <v>42825</v>
      </c>
      <c r="F116" s="8">
        <v>14827.63</v>
      </c>
      <c r="G116" s="8">
        <v>18534.54</v>
      </c>
      <c r="H116" s="56">
        <v>42825</v>
      </c>
      <c r="I116" s="24">
        <v>17812.862500000003</v>
      </c>
      <c r="J116" s="70"/>
      <c r="L116" s="112"/>
      <c r="M116" s="112"/>
    </row>
    <row r="117" spans="1:13" ht="24" x14ac:dyDescent="0.25">
      <c r="A117" s="1">
        <v>40</v>
      </c>
      <c r="B117" s="60" t="s">
        <v>193</v>
      </c>
      <c r="C117" s="10" t="str">
        <f>"58-6-16-2"</f>
        <v>58-6-16-2</v>
      </c>
      <c r="D117" s="56">
        <v>42737</v>
      </c>
      <c r="E117" s="56">
        <v>43088</v>
      </c>
      <c r="F117" s="8">
        <v>63807.94</v>
      </c>
      <c r="G117" s="8">
        <v>79759.929999999993</v>
      </c>
      <c r="H117" s="56">
        <v>43100</v>
      </c>
      <c r="I117" s="24">
        <v>35831.712500000001</v>
      </c>
      <c r="J117" s="70"/>
      <c r="L117" s="112"/>
      <c r="M117" s="112"/>
    </row>
    <row r="118" spans="1:13" ht="24" x14ac:dyDescent="0.25">
      <c r="A118" s="1">
        <v>41</v>
      </c>
      <c r="B118" s="60" t="s">
        <v>196</v>
      </c>
      <c r="C118" s="10" t="str">
        <f>"MGPU-2/2016-AS"</f>
        <v>MGPU-2/2016-AS</v>
      </c>
      <c r="D118" s="56">
        <v>42734</v>
      </c>
      <c r="E118" s="56">
        <v>43100</v>
      </c>
      <c r="F118" s="8">
        <v>40524.959999999999</v>
      </c>
      <c r="G118" s="8">
        <v>50656.2</v>
      </c>
      <c r="H118" s="56">
        <v>43100</v>
      </c>
      <c r="I118" s="24">
        <v>37140.824999999997</v>
      </c>
      <c r="J118" s="70"/>
      <c r="L118" s="112"/>
      <c r="M118" s="112"/>
    </row>
    <row r="119" spans="1:13" x14ac:dyDescent="0.25">
      <c r="A119" s="1">
        <v>42</v>
      </c>
      <c r="B119" s="60" t="s">
        <v>278</v>
      </c>
      <c r="C119" s="10" t="str">
        <f>"18/2017"</f>
        <v>18/2017</v>
      </c>
      <c r="D119" s="56">
        <v>42779</v>
      </c>
      <c r="E119" s="56">
        <v>43088</v>
      </c>
      <c r="F119" s="8">
        <v>26141.200000000001</v>
      </c>
      <c r="G119" s="8">
        <v>32676.5</v>
      </c>
      <c r="H119" s="56">
        <v>43088</v>
      </c>
      <c r="I119" s="24">
        <v>30199.362500000003</v>
      </c>
      <c r="J119" s="70"/>
      <c r="L119" s="112"/>
      <c r="M119" s="112"/>
    </row>
    <row r="120" spans="1:13" x14ac:dyDescent="0.25">
      <c r="A120" s="1">
        <v>43</v>
      </c>
      <c r="B120" s="60" t="s">
        <v>278</v>
      </c>
      <c r="C120" s="10" t="str">
        <f>"19/2017"</f>
        <v>19/2017</v>
      </c>
      <c r="D120" s="56">
        <v>42779</v>
      </c>
      <c r="E120" s="56">
        <v>43088</v>
      </c>
      <c r="F120" s="8">
        <v>12034.4</v>
      </c>
      <c r="G120" s="8">
        <v>15043</v>
      </c>
      <c r="H120" s="56">
        <v>43088</v>
      </c>
      <c r="I120" s="24">
        <v>13986.75</v>
      </c>
      <c r="J120" s="70"/>
      <c r="L120" s="112"/>
      <c r="M120" s="112"/>
    </row>
    <row r="121" spans="1:13" x14ac:dyDescent="0.25">
      <c r="A121" s="1">
        <v>44</v>
      </c>
      <c r="B121" s="60" t="s">
        <v>278</v>
      </c>
      <c r="C121" s="10" t="str">
        <f>"20/2017"</f>
        <v>20/2017</v>
      </c>
      <c r="D121" s="56">
        <v>42779</v>
      </c>
      <c r="E121" s="56">
        <v>43088</v>
      </c>
      <c r="F121" s="8">
        <v>58154.239999999998</v>
      </c>
      <c r="G121" s="8">
        <v>72692.800000000003</v>
      </c>
      <c r="H121" s="56">
        <v>43088</v>
      </c>
      <c r="I121" s="24">
        <v>64929.712499999994</v>
      </c>
      <c r="J121" s="70"/>
      <c r="L121" s="112"/>
      <c r="M121" s="112"/>
    </row>
    <row r="122" spans="1:13" x14ac:dyDescent="0.25">
      <c r="A122" s="1">
        <v>45</v>
      </c>
      <c r="B122" s="60" t="s">
        <v>278</v>
      </c>
      <c r="C122" s="10" t="str">
        <f>"21/2017"</f>
        <v>21/2017</v>
      </c>
      <c r="D122" s="56">
        <v>42779</v>
      </c>
      <c r="E122" s="56">
        <v>43088</v>
      </c>
      <c r="F122" s="8">
        <v>61956.95</v>
      </c>
      <c r="G122" s="8">
        <v>77446.19</v>
      </c>
      <c r="H122" s="56">
        <v>43088</v>
      </c>
      <c r="I122" s="24">
        <v>69500.7</v>
      </c>
      <c r="J122" s="70"/>
      <c r="L122" s="112"/>
      <c r="M122" s="112"/>
    </row>
    <row r="123" spans="1:13" x14ac:dyDescent="0.25">
      <c r="A123" s="1">
        <v>46</v>
      </c>
      <c r="B123" s="60" t="s">
        <v>278</v>
      </c>
      <c r="C123" s="10" t="str">
        <f>"22/2017"</f>
        <v>22/2017</v>
      </c>
      <c r="D123" s="56">
        <v>42779</v>
      </c>
      <c r="E123" s="56">
        <v>43088</v>
      </c>
      <c r="F123" s="8">
        <v>38709.519999999997</v>
      </c>
      <c r="G123" s="8">
        <v>48386.9</v>
      </c>
      <c r="H123" s="56">
        <v>43088</v>
      </c>
      <c r="I123" s="24">
        <v>42123.225000000006</v>
      </c>
      <c r="J123" s="70"/>
      <c r="L123" s="112"/>
      <c r="M123" s="112"/>
    </row>
    <row r="124" spans="1:13" ht="24" x14ac:dyDescent="0.25">
      <c r="A124" s="1">
        <v>47</v>
      </c>
      <c r="B124" s="60" t="s">
        <v>204</v>
      </c>
      <c r="C124" s="10" t="str">
        <f>"2/2016-AS-16/134-1"</f>
        <v>2/2016-AS-16/134-1</v>
      </c>
      <c r="D124" s="56">
        <v>42734</v>
      </c>
      <c r="E124" s="56">
        <v>43100</v>
      </c>
      <c r="F124" s="8">
        <v>28263.66</v>
      </c>
      <c r="G124" s="8">
        <v>35329.58</v>
      </c>
      <c r="H124" s="56">
        <v>43100</v>
      </c>
      <c r="I124" s="24">
        <v>27597.525000000001</v>
      </c>
      <c r="J124" s="70"/>
      <c r="L124" s="112"/>
      <c r="M124" s="112"/>
    </row>
    <row r="125" spans="1:13" ht="24" x14ac:dyDescent="0.25">
      <c r="A125" s="1">
        <v>48</v>
      </c>
      <c r="B125" s="60" t="s">
        <v>206</v>
      </c>
      <c r="C125" s="10" t="str">
        <f>"ĆIŠĆENJE GRUPA 5 OS"</f>
        <v>ĆIŠĆENJE GRUPA 5 OS</v>
      </c>
      <c r="D125" s="56">
        <v>42732</v>
      </c>
      <c r="E125" s="56">
        <v>43100</v>
      </c>
      <c r="F125" s="8">
        <v>23670</v>
      </c>
      <c r="G125" s="8">
        <v>29587.5</v>
      </c>
      <c r="H125" s="56">
        <v>43100</v>
      </c>
      <c r="I125" s="24">
        <v>25953.162499999999</v>
      </c>
      <c r="J125" s="70"/>
      <c r="L125" s="112"/>
      <c r="M125" s="112"/>
    </row>
    <row r="126" spans="1:13" ht="24" x14ac:dyDescent="0.25">
      <c r="A126" s="1">
        <v>49</v>
      </c>
      <c r="B126" s="60" t="s">
        <v>197</v>
      </c>
      <c r="C126" s="10" t="str">
        <f>"U148/16"</f>
        <v>U148/16</v>
      </c>
      <c r="D126" s="56">
        <v>42737</v>
      </c>
      <c r="E126" s="56">
        <v>43100</v>
      </c>
      <c r="F126" s="8">
        <v>8430.2099999999991</v>
      </c>
      <c r="G126" s="8">
        <v>10537.76</v>
      </c>
      <c r="H126" s="56">
        <v>43100</v>
      </c>
      <c r="I126" s="24">
        <v>7061.4874999999993</v>
      </c>
      <c r="J126" s="70"/>
      <c r="L126" s="112"/>
      <c r="M126" s="112"/>
    </row>
    <row r="127" spans="1:13" ht="36" x14ac:dyDescent="0.25">
      <c r="A127" s="1">
        <v>50</v>
      </c>
      <c r="B127" s="60" t="s">
        <v>192</v>
      </c>
      <c r="C127" s="10" t="str">
        <f>"510/8-C-U-4001/17-16"</f>
        <v>510/8-C-U-4001/17-16</v>
      </c>
      <c r="D127" s="56">
        <v>42744</v>
      </c>
      <c r="E127" s="56">
        <v>43100</v>
      </c>
      <c r="F127" s="8">
        <v>14790.4</v>
      </c>
      <c r="G127" s="8">
        <v>18488</v>
      </c>
      <c r="H127" s="56">
        <v>43100</v>
      </c>
      <c r="I127" s="24">
        <v>13824</v>
      </c>
      <c r="J127" s="70"/>
      <c r="L127" s="112"/>
      <c r="M127" s="112"/>
    </row>
    <row r="128" spans="1:13" ht="36" x14ac:dyDescent="0.25">
      <c r="A128" s="1">
        <v>51</v>
      </c>
      <c r="B128" s="60" t="s">
        <v>192</v>
      </c>
      <c r="C128" s="10" t="str">
        <f>"510/8-C-U-2001/17-14"</f>
        <v>510/8-C-U-2001/17-14</v>
      </c>
      <c r="D128" s="56">
        <v>42744</v>
      </c>
      <c r="E128" s="56">
        <v>42766</v>
      </c>
      <c r="F128" s="8">
        <v>13540.4</v>
      </c>
      <c r="G128" s="8">
        <v>16925.5</v>
      </c>
      <c r="H128" s="56">
        <v>43100</v>
      </c>
      <c r="I128" s="24">
        <v>12810.112499999999</v>
      </c>
      <c r="J128" s="70"/>
      <c r="L128" s="112"/>
      <c r="M128" s="112"/>
    </row>
    <row r="129" spans="1:14" ht="24" x14ac:dyDescent="0.25">
      <c r="A129" s="1">
        <v>52</v>
      </c>
      <c r="B129" s="60" t="s">
        <v>197</v>
      </c>
      <c r="C129" s="10" t="str">
        <f>"U142/16"</f>
        <v>U142/16</v>
      </c>
      <c r="D129" s="56">
        <v>42737</v>
      </c>
      <c r="E129" s="56">
        <v>43100</v>
      </c>
      <c r="F129" s="8">
        <v>16233.48</v>
      </c>
      <c r="G129" s="8">
        <v>20291.849999999999</v>
      </c>
      <c r="H129" s="56">
        <v>43100</v>
      </c>
      <c r="I129" s="24">
        <v>17057.25</v>
      </c>
      <c r="J129" s="70"/>
      <c r="L129" s="112"/>
      <c r="M129" s="112"/>
    </row>
    <row r="130" spans="1:14" ht="24" x14ac:dyDescent="0.25">
      <c r="A130" s="1">
        <v>53</v>
      </c>
      <c r="B130" s="60" t="s">
        <v>197</v>
      </c>
      <c r="C130" s="10" t="str">
        <f>"U143/16"</f>
        <v>U143/16</v>
      </c>
      <c r="D130" s="56">
        <v>42737</v>
      </c>
      <c r="E130" s="56">
        <v>43100</v>
      </c>
      <c r="F130" s="8">
        <v>17030.8</v>
      </c>
      <c r="G130" s="8">
        <v>21288.5</v>
      </c>
      <c r="H130" s="56">
        <v>43100</v>
      </c>
      <c r="I130" s="24">
        <v>17682.037499999999</v>
      </c>
      <c r="J130" s="70"/>
      <c r="L130" s="112"/>
      <c r="M130" s="112"/>
    </row>
    <row r="131" spans="1:14" ht="24" x14ac:dyDescent="0.25">
      <c r="A131" s="1">
        <v>54</v>
      </c>
      <c r="B131" s="60" t="s">
        <v>197</v>
      </c>
      <c r="C131" s="10" t="str">
        <f>"U144/16"</f>
        <v>U144/16</v>
      </c>
      <c r="D131" s="56">
        <v>42737</v>
      </c>
      <c r="E131" s="56">
        <v>43100</v>
      </c>
      <c r="F131" s="8">
        <v>10425.56</v>
      </c>
      <c r="G131" s="8">
        <v>13031.95</v>
      </c>
      <c r="H131" s="56">
        <v>43100</v>
      </c>
      <c r="I131" s="24">
        <v>9756</v>
      </c>
      <c r="J131" s="70"/>
      <c r="L131" s="112"/>
      <c r="M131" s="112"/>
    </row>
    <row r="132" spans="1:14" ht="24" x14ac:dyDescent="0.25">
      <c r="A132" s="1">
        <v>55</v>
      </c>
      <c r="B132" s="60" t="s">
        <v>197</v>
      </c>
      <c r="C132" s="10" t="str">
        <f>"U145/16"</f>
        <v>U145/16</v>
      </c>
      <c r="D132" s="56">
        <v>42737</v>
      </c>
      <c r="E132" s="56">
        <v>43100</v>
      </c>
      <c r="F132" s="8">
        <v>8804.6200000000008</v>
      </c>
      <c r="G132" s="8">
        <v>11005.78</v>
      </c>
      <c r="H132" s="56">
        <v>43100</v>
      </c>
      <c r="I132" s="24">
        <v>8129.9</v>
      </c>
      <c r="J132" s="70"/>
      <c r="L132" s="112"/>
      <c r="M132" s="112"/>
    </row>
    <row r="133" spans="1:14" ht="24" x14ac:dyDescent="0.25">
      <c r="A133" s="1">
        <v>56</v>
      </c>
      <c r="B133" s="60" t="s">
        <v>197</v>
      </c>
      <c r="C133" s="10" t="str">
        <f>"U146/16"</f>
        <v>U146/16</v>
      </c>
      <c r="D133" s="56">
        <v>42737</v>
      </c>
      <c r="E133" s="56">
        <v>43100</v>
      </c>
      <c r="F133" s="8">
        <v>8474</v>
      </c>
      <c r="G133" s="8">
        <v>10592.5</v>
      </c>
      <c r="H133" s="56">
        <v>43100</v>
      </c>
      <c r="I133" s="24">
        <v>8111.2625000000007</v>
      </c>
      <c r="J133" s="70"/>
      <c r="L133" s="112"/>
      <c r="M133" s="112"/>
    </row>
    <row r="134" spans="1:14" ht="24" x14ac:dyDescent="0.25">
      <c r="A134" s="1">
        <v>57</v>
      </c>
      <c r="B134" s="60" t="s">
        <v>197</v>
      </c>
      <c r="C134" s="10" t="str">
        <f>"U147/16"</f>
        <v>U147/16</v>
      </c>
      <c r="D134" s="56">
        <v>42737</v>
      </c>
      <c r="E134" s="56">
        <v>43100</v>
      </c>
      <c r="F134" s="8">
        <v>11376.16</v>
      </c>
      <c r="G134" s="8">
        <v>14220.2</v>
      </c>
      <c r="H134" s="56">
        <v>43100</v>
      </c>
      <c r="I134" s="24">
        <v>10393.412499999999</v>
      </c>
      <c r="J134" s="70"/>
      <c r="L134" s="112"/>
      <c r="M134" s="112"/>
    </row>
    <row r="135" spans="1:14" ht="36" x14ac:dyDescent="0.25">
      <c r="A135" s="1">
        <v>58</v>
      </c>
      <c r="B135" s="60" t="s">
        <v>192</v>
      </c>
      <c r="C135" s="10" t="str">
        <f>"510/8-C-U-9001/17-15"</f>
        <v>510/8-C-U-9001/17-15</v>
      </c>
      <c r="D135" s="56">
        <v>42744</v>
      </c>
      <c r="E135" s="56">
        <v>43100</v>
      </c>
      <c r="F135" s="8">
        <v>8988.64</v>
      </c>
      <c r="G135" s="8">
        <v>11235.8</v>
      </c>
      <c r="H135" s="56">
        <v>43100</v>
      </c>
      <c r="I135" s="24">
        <v>12801.900000000001</v>
      </c>
      <c r="J135" s="70"/>
      <c r="L135" s="112"/>
      <c r="M135" s="112"/>
    </row>
    <row r="136" spans="1:14" ht="24" x14ac:dyDescent="0.25">
      <c r="A136" s="1">
        <v>59</v>
      </c>
      <c r="B136" s="60" t="s">
        <v>197</v>
      </c>
      <c r="C136" s="10" t="str">
        <f>"U149/16"</f>
        <v>U149/16</v>
      </c>
      <c r="D136" s="56">
        <v>42737</v>
      </c>
      <c r="E136" s="56">
        <v>43100</v>
      </c>
      <c r="F136" s="8">
        <v>7533.38</v>
      </c>
      <c r="G136" s="8">
        <v>9416.73</v>
      </c>
      <c r="H136" s="56">
        <v>43100</v>
      </c>
      <c r="I136" s="24">
        <v>7124.7000000000007</v>
      </c>
      <c r="J136" s="70"/>
      <c r="L136" s="112"/>
      <c r="M136" s="112"/>
    </row>
    <row r="137" spans="1:14" ht="24" x14ac:dyDescent="0.25">
      <c r="A137" s="1">
        <v>60</v>
      </c>
      <c r="B137" s="60" t="s">
        <v>187</v>
      </c>
      <c r="C137" s="10" t="str">
        <f>"2/2016-AS-3-U1"</f>
        <v>2/2016-AS-3-U1</v>
      </c>
      <c r="D137" s="56">
        <v>42736</v>
      </c>
      <c r="E137" s="56">
        <v>43100</v>
      </c>
      <c r="F137" s="8">
        <v>3283.64</v>
      </c>
      <c r="G137" s="8">
        <v>4104.55</v>
      </c>
      <c r="H137" s="56">
        <v>42916</v>
      </c>
      <c r="I137" s="24">
        <v>1144.7750000000001</v>
      </c>
      <c r="J137" s="70"/>
      <c r="L137" s="112"/>
      <c r="M137" s="112"/>
    </row>
    <row r="138" spans="1:14" ht="24" x14ac:dyDescent="0.25">
      <c r="A138" s="1">
        <v>61</v>
      </c>
      <c r="B138" s="60" t="s">
        <v>187</v>
      </c>
      <c r="C138" s="10" t="str">
        <f>"2/2016-AS-5-U1"</f>
        <v>2/2016-AS-5-U1</v>
      </c>
      <c r="D138" s="56">
        <v>42736</v>
      </c>
      <c r="E138" s="56">
        <v>43100</v>
      </c>
      <c r="F138" s="8">
        <v>1694.68</v>
      </c>
      <c r="G138" s="8">
        <v>2118.35</v>
      </c>
      <c r="H138" s="56">
        <v>42916</v>
      </c>
      <c r="I138" s="24">
        <v>577.53749999999991</v>
      </c>
      <c r="J138" s="70"/>
      <c r="L138" s="112"/>
      <c r="M138" s="112"/>
    </row>
    <row r="139" spans="1:14" ht="36" x14ac:dyDescent="0.25">
      <c r="A139" s="1">
        <v>62</v>
      </c>
      <c r="B139" s="60" t="s">
        <v>192</v>
      </c>
      <c r="C139" s="10" t="str">
        <f>"510/8-C-U-1001/17-13"</f>
        <v>510/8-C-U-1001/17-13</v>
      </c>
      <c r="D139" s="56">
        <v>42744</v>
      </c>
      <c r="E139" s="56">
        <v>43100</v>
      </c>
      <c r="F139" s="8">
        <v>2814.8</v>
      </c>
      <c r="G139" s="8">
        <v>3518.5</v>
      </c>
      <c r="H139" s="56">
        <v>43100</v>
      </c>
      <c r="I139" s="24">
        <v>3003</v>
      </c>
      <c r="J139" s="70"/>
      <c r="L139" s="112"/>
      <c r="M139" s="112"/>
    </row>
    <row r="140" spans="1:14" x14ac:dyDescent="0.25">
      <c r="A140" s="1">
        <v>63</v>
      </c>
      <c r="B140" s="60" t="s">
        <v>198</v>
      </c>
      <c r="C140" s="10" t="str">
        <f>"P/14736254"</f>
        <v>P/14736254</v>
      </c>
      <c r="D140" s="56">
        <v>42724</v>
      </c>
      <c r="E140" s="56">
        <v>43088</v>
      </c>
      <c r="F140" s="8">
        <v>36841.68</v>
      </c>
      <c r="G140" s="8">
        <v>46052.1</v>
      </c>
      <c r="H140" s="56">
        <v>43100</v>
      </c>
      <c r="I140" s="24">
        <v>28961.7</v>
      </c>
      <c r="J140" s="70"/>
      <c r="L140" s="112"/>
      <c r="M140" s="112"/>
    </row>
    <row r="141" spans="1:14" x14ac:dyDescent="0.25">
      <c r="A141" s="1">
        <v>64</v>
      </c>
      <c r="B141" s="60" t="s">
        <v>198</v>
      </c>
      <c r="C141" s="10" t="str">
        <f>"P/14740801"</f>
        <v>P/14740801</v>
      </c>
      <c r="D141" s="56">
        <v>42723</v>
      </c>
      <c r="E141" s="56">
        <v>43088</v>
      </c>
      <c r="F141" s="8">
        <v>8660.16</v>
      </c>
      <c r="G141" s="8">
        <v>10825.2</v>
      </c>
      <c r="H141" s="56">
        <v>43100</v>
      </c>
      <c r="I141" s="24">
        <v>9274.7999999999993</v>
      </c>
      <c r="J141" s="70"/>
      <c r="L141" s="112"/>
      <c r="M141" s="112"/>
    </row>
    <row r="142" spans="1:14" ht="24" x14ac:dyDescent="0.25">
      <c r="A142" s="1">
        <v>65</v>
      </c>
      <c r="B142" s="60" t="s">
        <v>187</v>
      </c>
      <c r="C142" s="10" t="str">
        <f>"2/2016-AS-6-U1"</f>
        <v>2/2016-AS-6-U1</v>
      </c>
      <c r="D142" s="56">
        <v>42370</v>
      </c>
      <c r="E142" s="56">
        <v>43100</v>
      </c>
      <c r="F142" s="8">
        <v>1870.8</v>
      </c>
      <c r="G142" s="8">
        <v>2338.5</v>
      </c>
      <c r="H142" s="56">
        <v>43100</v>
      </c>
      <c r="I142" s="24">
        <v>661.5</v>
      </c>
      <c r="J142" s="70"/>
      <c r="L142" s="112"/>
      <c r="M142" s="112"/>
    </row>
    <row r="143" spans="1:14" ht="7.5" customHeight="1" x14ac:dyDescent="0.25"/>
    <row r="144" spans="1:14" x14ac:dyDescent="0.25">
      <c r="A144" s="175" t="s">
        <v>21</v>
      </c>
      <c r="B144" s="175"/>
      <c r="C144" s="175"/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</row>
    <row r="145" spans="1:14" ht="36" x14ac:dyDescent="0.25">
      <c r="A145" s="53" t="s">
        <v>0</v>
      </c>
      <c r="B145" s="54" t="s">
        <v>1</v>
      </c>
      <c r="C145" s="54" t="s">
        <v>3</v>
      </c>
      <c r="D145" s="178" t="s">
        <v>171</v>
      </c>
      <c r="E145" s="178"/>
      <c r="F145" s="54" t="s">
        <v>166</v>
      </c>
      <c r="G145" s="54" t="s">
        <v>170</v>
      </c>
      <c r="H145" s="54" t="s">
        <v>167</v>
      </c>
      <c r="I145" s="54" t="s">
        <v>4</v>
      </c>
      <c r="J145" s="54" t="s">
        <v>5</v>
      </c>
      <c r="K145" s="54" t="s">
        <v>2</v>
      </c>
      <c r="L145" s="54" t="s">
        <v>172</v>
      </c>
      <c r="M145" s="54" t="s">
        <v>173</v>
      </c>
      <c r="N145" s="54" t="s">
        <v>169</v>
      </c>
    </row>
    <row r="146" spans="1:14" ht="25.5" customHeight="1" x14ac:dyDescent="0.25">
      <c r="A146" s="1">
        <v>1</v>
      </c>
      <c r="B146" s="4" t="s">
        <v>22</v>
      </c>
      <c r="C146" s="1" t="s">
        <v>139</v>
      </c>
      <c r="D146" s="181" t="s">
        <v>1047</v>
      </c>
      <c r="E146" s="182"/>
      <c r="F146" s="1" t="s">
        <v>154</v>
      </c>
      <c r="G146" s="1" t="s">
        <v>1011</v>
      </c>
      <c r="H146" s="1" t="s">
        <v>15</v>
      </c>
      <c r="I146" s="15" t="s">
        <v>156</v>
      </c>
      <c r="J146" s="1" t="s">
        <v>57</v>
      </c>
      <c r="K146" s="8">
        <v>767578.56</v>
      </c>
      <c r="L146" s="8">
        <f>K146*0.25</f>
        <v>191894.64</v>
      </c>
      <c r="M146" s="8">
        <f>K146+L146</f>
        <v>959473.20000000007</v>
      </c>
      <c r="N146" s="176"/>
    </row>
    <row r="147" spans="1:14" ht="15" customHeight="1" x14ac:dyDescent="0.25">
      <c r="A147" s="177" t="s">
        <v>1012</v>
      </c>
      <c r="B147" s="177"/>
      <c r="C147" s="177"/>
      <c r="D147" s="177"/>
      <c r="E147" s="177"/>
      <c r="F147" s="177"/>
      <c r="G147" s="177"/>
      <c r="H147" s="177"/>
      <c r="I147" s="177"/>
      <c r="J147" s="177"/>
      <c r="K147" s="177"/>
      <c r="L147" s="177"/>
      <c r="M147" s="8">
        <v>667010.26</v>
      </c>
      <c r="N147" s="176"/>
    </row>
    <row r="148" spans="1:14" ht="7.5" customHeight="1" x14ac:dyDescent="0.25">
      <c r="L148" s="47"/>
    </row>
    <row r="149" spans="1:14" ht="15" customHeight="1" x14ac:dyDescent="0.25">
      <c r="A149" s="175" t="s">
        <v>12</v>
      </c>
      <c r="B149" s="175"/>
      <c r="C149" s="175"/>
      <c r="D149" s="175"/>
      <c r="E149" s="175"/>
      <c r="F149" s="175"/>
      <c r="G149" s="175"/>
      <c r="H149" s="175"/>
      <c r="I149" s="175"/>
      <c r="J149" s="175"/>
      <c r="K149" s="49"/>
      <c r="L149" s="49"/>
    </row>
    <row r="150" spans="1:14" ht="48" customHeight="1" x14ac:dyDescent="0.25">
      <c r="A150" s="2" t="s">
        <v>0</v>
      </c>
      <c r="B150" s="3" t="s">
        <v>7</v>
      </c>
      <c r="C150" s="3" t="s">
        <v>6</v>
      </c>
      <c r="D150" s="3" t="s">
        <v>8</v>
      </c>
      <c r="E150" s="3" t="s">
        <v>168</v>
      </c>
      <c r="F150" s="3" t="s">
        <v>174</v>
      </c>
      <c r="G150" s="3" t="s">
        <v>175</v>
      </c>
      <c r="H150" s="3" t="s">
        <v>9</v>
      </c>
      <c r="I150" s="3" t="s">
        <v>176</v>
      </c>
      <c r="J150" s="3" t="s">
        <v>10</v>
      </c>
      <c r="L150" s="48"/>
      <c r="M150" s="48"/>
    </row>
    <row r="151" spans="1:14" x14ac:dyDescent="0.25">
      <c r="A151" s="1">
        <v>1</v>
      </c>
      <c r="B151" s="60" t="s">
        <v>278</v>
      </c>
      <c r="C151" s="10" t="str">
        <f>"62/2017."</f>
        <v>62/2017.</v>
      </c>
      <c r="D151" s="56">
        <v>42825</v>
      </c>
      <c r="E151" s="56">
        <v>43085</v>
      </c>
      <c r="F151" s="8">
        <v>176923.19</v>
      </c>
      <c r="G151" s="8">
        <v>221153.99</v>
      </c>
      <c r="H151" s="56">
        <v>43085</v>
      </c>
      <c r="I151" s="24">
        <v>124930.83749999999</v>
      </c>
      <c r="J151" s="70"/>
      <c r="L151" s="112"/>
      <c r="M151" s="112"/>
    </row>
    <row r="152" spans="1:14" ht="24" x14ac:dyDescent="0.25">
      <c r="A152" s="1">
        <v>2</v>
      </c>
      <c r="B152" s="60" t="s">
        <v>195</v>
      </c>
      <c r="C152" s="10" t="str">
        <f>"MUP-ZG-GR11"</f>
        <v>MUP-ZG-GR11</v>
      </c>
      <c r="D152" s="56">
        <v>42767</v>
      </c>
      <c r="E152" s="56">
        <v>43144</v>
      </c>
      <c r="F152" s="8">
        <v>28660.01</v>
      </c>
      <c r="G152" s="8">
        <v>35825.01</v>
      </c>
      <c r="H152" s="56">
        <v>43008</v>
      </c>
      <c r="I152" s="24">
        <v>21222.199999999997</v>
      </c>
      <c r="J152" s="70"/>
      <c r="L152" s="112"/>
      <c r="M152" s="112"/>
    </row>
    <row r="153" spans="1:14" ht="24" x14ac:dyDescent="0.25">
      <c r="A153" s="1">
        <v>3</v>
      </c>
      <c r="B153" s="60" t="s">
        <v>204</v>
      </c>
      <c r="C153" s="10" t="str">
        <f>"2/2016-AT-16/132-1"</f>
        <v>2/2016-AT-16/132-1</v>
      </c>
      <c r="D153" s="56">
        <v>42734</v>
      </c>
      <c r="E153" s="56">
        <v>43100</v>
      </c>
      <c r="F153" s="8">
        <v>165838.68</v>
      </c>
      <c r="G153" s="8">
        <v>207298.35</v>
      </c>
      <c r="H153" s="56">
        <v>43100</v>
      </c>
      <c r="I153" s="24">
        <v>173775.07500000001</v>
      </c>
      <c r="J153" s="70"/>
      <c r="L153" s="112"/>
      <c r="M153" s="112"/>
    </row>
    <row r="154" spans="1:14" ht="24" x14ac:dyDescent="0.25">
      <c r="A154" s="1">
        <v>4</v>
      </c>
      <c r="B154" s="60" t="s">
        <v>204</v>
      </c>
      <c r="C154" s="10" t="str">
        <f>"2/2016-AT-16/133-1"</f>
        <v>2/2016-AT-16/133-1</v>
      </c>
      <c r="D154" s="56">
        <v>42734</v>
      </c>
      <c r="E154" s="56">
        <v>43100</v>
      </c>
      <c r="F154" s="8">
        <v>1164.8</v>
      </c>
      <c r="G154" s="8">
        <v>1456</v>
      </c>
      <c r="H154" s="56">
        <v>43100</v>
      </c>
      <c r="I154" s="24">
        <v>1181.5374999999999</v>
      </c>
      <c r="J154" s="70"/>
      <c r="L154" s="112"/>
      <c r="M154" s="112"/>
    </row>
    <row r="155" spans="1:14" ht="24" x14ac:dyDescent="0.25">
      <c r="A155" s="1">
        <v>5</v>
      </c>
      <c r="B155" s="60" t="s">
        <v>193</v>
      </c>
      <c r="C155" s="10" t="str">
        <f>"58-6-16-1"</f>
        <v>58-6-16-1</v>
      </c>
      <c r="D155" s="56">
        <v>42752</v>
      </c>
      <c r="E155" s="56">
        <v>43085</v>
      </c>
      <c r="F155" s="8">
        <v>286620.84000000003</v>
      </c>
      <c r="G155" s="8">
        <v>358276.05</v>
      </c>
      <c r="H155" s="56">
        <v>43100</v>
      </c>
      <c r="I155" s="24">
        <v>281401.625</v>
      </c>
      <c r="J155" s="70"/>
      <c r="L155" s="112"/>
      <c r="M155" s="112"/>
    </row>
    <row r="156" spans="1:14" x14ac:dyDescent="0.25">
      <c r="A156" s="1">
        <v>6</v>
      </c>
      <c r="B156" s="60" t="s">
        <v>212</v>
      </c>
      <c r="C156" s="10" t="str">
        <f>"2/2016_AT"</f>
        <v>2/2016_AT</v>
      </c>
      <c r="D156" s="56">
        <v>42818</v>
      </c>
      <c r="E156" s="56">
        <v>43820</v>
      </c>
      <c r="F156" s="8">
        <v>0</v>
      </c>
      <c r="G156" s="8">
        <v>0</v>
      </c>
      <c r="H156" s="56">
        <v>43100</v>
      </c>
      <c r="I156" s="24">
        <v>64498.987500000003</v>
      </c>
      <c r="J156" s="70"/>
      <c r="L156" s="112"/>
      <c r="M156" s="112"/>
    </row>
    <row r="157" spans="1:14" ht="7.5" customHeight="1" x14ac:dyDescent="0.25"/>
    <row r="158" spans="1:14" x14ac:dyDescent="0.25">
      <c r="A158" s="175" t="s">
        <v>21</v>
      </c>
      <c r="B158" s="175"/>
      <c r="C158" s="175"/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</row>
    <row r="159" spans="1:14" ht="36" x14ac:dyDescent="0.25">
      <c r="A159" s="53" t="s">
        <v>0</v>
      </c>
      <c r="B159" s="54" t="s">
        <v>1</v>
      </c>
      <c r="C159" s="54" t="s">
        <v>3</v>
      </c>
      <c r="D159" s="178" t="s">
        <v>171</v>
      </c>
      <c r="E159" s="178"/>
      <c r="F159" s="54" t="s">
        <v>166</v>
      </c>
      <c r="G159" s="54" t="s">
        <v>170</v>
      </c>
      <c r="H159" s="54" t="s">
        <v>167</v>
      </c>
      <c r="I159" s="54" t="s">
        <v>4</v>
      </c>
      <c r="J159" s="54" t="s">
        <v>5</v>
      </c>
      <c r="K159" s="54" t="s">
        <v>2</v>
      </c>
      <c r="L159" s="54" t="s">
        <v>172</v>
      </c>
      <c r="M159" s="54" t="s">
        <v>173</v>
      </c>
      <c r="N159" s="54" t="s">
        <v>169</v>
      </c>
    </row>
    <row r="160" spans="1:14" x14ac:dyDescent="0.25">
      <c r="A160" s="1">
        <v>1</v>
      </c>
      <c r="B160" s="4" t="s">
        <v>22</v>
      </c>
      <c r="C160" s="1" t="s">
        <v>140</v>
      </c>
      <c r="D160" s="181" t="s">
        <v>1048</v>
      </c>
      <c r="E160" s="182"/>
      <c r="F160" s="1" t="s">
        <v>154</v>
      </c>
      <c r="G160" s="1" t="s">
        <v>1011</v>
      </c>
      <c r="H160" s="1" t="s">
        <v>15</v>
      </c>
      <c r="I160" s="15" t="s">
        <v>156</v>
      </c>
      <c r="J160" s="1" t="s">
        <v>57</v>
      </c>
      <c r="K160" s="8">
        <v>2323155.9500000002</v>
      </c>
      <c r="L160" s="8">
        <f>K160*0.25</f>
        <v>580788.98750000005</v>
      </c>
      <c r="M160" s="8">
        <f>K160+L160</f>
        <v>2903944.9375</v>
      </c>
      <c r="N160" s="176"/>
    </row>
    <row r="161" spans="1:14" ht="15" customHeight="1" x14ac:dyDescent="0.25">
      <c r="A161" s="177" t="s">
        <v>1012</v>
      </c>
      <c r="B161" s="177"/>
      <c r="C161" s="177"/>
      <c r="D161" s="177"/>
      <c r="E161" s="177"/>
      <c r="F161" s="177"/>
      <c r="G161" s="177"/>
      <c r="H161" s="177"/>
      <c r="I161" s="177"/>
      <c r="J161" s="177"/>
      <c r="K161" s="177"/>
      <c r="L161" s="177"/>
      <c r="M161" s="8">
        <v>1495540.96</v>
      </c>
      <c r="N161" s="176"/>
    </row>
    <row r="162" spans="1:14" ht="7.5" customHeight="1" x14ac:dyDescent="0.25">
      <c r="L162" s="47"/>
    </row>
    <row r="163" spans="1:14" ht="15" customHeight="1" x14ac:dyDescent="0.25">
      <c r="A163" s="175" t="s">
        <v>12</v>
      </c>
      <c r="B163" s="175"/>
      <c r="C163" s="175"/>
      <c r="D163" s="175"/>
      <c r="E163" s="175"/>
      <c r="F163" s="175"/>
      <c r="G163" s="175"/>
      <c r="H163" s="175"/>
      <c r="I163" s="175"/>
      <c r="J163" s="175"/>
      <c r="K163" s="49"/>
      <c r="L163" s="49"/>
    </row>
    <row r="164" spans="1:14" ht="48" customHeight="1" x14ac:dyDescent="0.25">
      <c r="A164" s="2" t="s">
        <v>0</v>
      </c>
      <c r="B164" s="3" t="s">
        <v>7</v>
      </c>
      <c r="C164" s="3" t="s">
        <v>6</v>
      </c>
      <c r="D164" s="3" t="s">
        <v>8</v>
      </c>
      <c r="E164" s="3" t="s">
        <v>168</v>
      </c>
      <c r="F164" s="3" t="s">
        <v>174</v>
      </c>
      <c r="G164" s="3" t="s">
        <v>175</v>
      </c>
      <c r="H164" s="3" t="s">
        <v>9</v>
      </c>
      <c r="I164" s="3" t="s">
        <v>176</v>
      </c>
      <c r="J164" s="3" t="s">
        <v>10</v>
      </c>
      <c r="L164" s="48"/>
      <c r="M164" s="48"/>
    </row>
    <row r="165" spans="1:14" ht="36" x14ac:dyDescent="0.25">
      <c r="A165" s="1">
        <v>1</v>
      </c>
      <c r="B165" s="60" t="s">
        <v>189</v>
      </c>
      <c r="C165" s="10" t="str">
        <f>"02-C-U-0500/17-21"</f>
        <v>02-C-U-0500/17-21</v>
      </c>
      <c r="D165" s="56">
        <v>42894</v>
      </c>
      <c r="E165" s="56">
        <v>43085</v>
      </c>
      <c r="F165" s="8">
        <v>319075.55</v>
      </c>
      <c r="G165" s="8">
        <v>398844.44</v>
      </c>
      <c r="H165" s="56">
        <v>43085</v>
      </c>
      <c r="I165" s="24">
        <v>154126.85</v>
      </c>
      <c r="J165" s="70"/>
      <c r="L165" s="112"/>
      <c r="M165" s="112"/>
    </row>
    <row r="166" spans="1:14" ht="24" x14ac:dyDescent="0.25">
      <c r="A166" s="1">
        <v>2</v>
      </c>
      <c r="B166" s="60" t="s">
        <v>18</v>
      </c>
      <c r="C166" s="10" t="str">
        <f>"SNUG-202-17-0009"</f>
        <v>SNUG-202-17-0009</v>
      </c>
      <c r="D166" s="56">
        <v>42790</v>
      </c>
      <c r="E166" s="56">
        <v>43100</v>
      </c>
      <c r="F166" s="8">
        <v>4808.32</v>
      </c>
      <c r="G166" s="8">
        <v>6010.4</v>
      </c>
      <c r="H166" s="56">
        <v>43100</v>
      </c>
      <c r="I166" s="24">
        <v>49522.825000000004</v>
      </c>
      <c r="J166" s="70"/>
      <c r="L166" s="112"/>
      <c r="M166" s="112"/>
    </row>
    <row r="167" spans="1:14" ht="24" x14ac:dyDescent="0.25">
      <c r="A167" s="1">
        <v>3</v>
      </c>
      <c r="B167" s="60" t="s">
        <v>195</v>
      </c>
      <c r="C167" s="10" t="str">
        <f>"MUP-ZG-GR9"</f>
        <v>MUP-ZG-GR9</v>
      </c>
      <c r="D167" s="56">
        <v>42769</v>
      </c>
      <c r="E167" s="56">
        <v>43137</v>
      </c>
      <c r="F167" s="8">
        <v>29849.759999999998</v>
      </c>
      <c r="G167" s="8">
        <v>37312.199999999997</v>
      </c>
      <c r="H167" s="56">
        <v>43008</v>
      </c>
      <c r="I167" s="24">
        <v>23294.45</v>
      </c>
      <c r="J167" s="70"/>
      <c r="L167" s="112"/>
      <c r="M167" s="112"/>
    </row>
    <row r="168" spans="1:14" ht="24" x14ac:dyDescent="0.25">
      <c r="A168" s="1">
        <v>4</v>
      </c>
      <c r="B168" s="60" t="s">
        <v>279</v>
      </c>
      <c r="C168" s="10" t="str">
        <f>"ČIŠĆENJE"</f>
        <v>ČIŠĆENJE</v>
      </c>
      <c r="D168" s="56">
        <v>42767</v>
      </c>
      <c r="E168" s="56">
        <v>43100</v>
      </c>
      <c r="F168" s="8">
        <v>19547.84</v>
      </c>
      <c r="G168" s="8">
        <v>24434.799999999999</v>
      </c>
      <c r="H168" s="56">
        <v>43100</v>
      </c>
      <c r="I168" s="24">
        <v>57216.112500000003</v>
      </c>
      <c r="J168" s="70"/>
      <c r="L168" s="112"/>
      <c r="M168" s="112"/>
    </row>
    <row r="169" spans="1:14" ht="24" x14ac:dyDescent="0.25">
      <c r="A169" s="1">
        <v>5</v>
      </c>
      <c r="B169" s="60" t="s">
        <v>190</v>
      </c>
      <c r="C169" s="10" t="str">
        <f>"6082/2016"</f>
        <v>6082/2016</v>
      </c>
      <c r="D169" s="56">
        <v>42751</v>
      </c>
      <c r="E169" s="56">
        <v>43085</v>
      </c>
      <c r="F169" s="8">
        <v>220770.6</v>
      </c>
      <c r="G169" s="8">
        <v>275963.25</v>
      </c>
      <c r="H169" s="56">
        <v>43085</v>
      </c>
      <c r="I169" s="24">
        <v>196756.51249999998</v>
      </c>
      <c r="J169" s="70"/>
      <c r="L169" s="112"/>
      <c r="M169" s="112"/>
    </row>
    <row r="170" spans="1:14" ht="24" x14ac:dyDescent="0.25">
      <c r="A170" s="1">
        <v>6</v>
      </c>
      <c r="B170" s="60" t="s">
        <v>206</v>
      </c>
      <c r="C170" s="10" t="str">
        <f>"ĆIŠĆENJE GRUPA 9 ZG"</f>
        <v>ĆIŠĆENJE GRUPA 9 ZG</v>
      </c>
      <c r="D170" s="56">
        <v>42733</v>
      </c>
      <c r="E170" s="56">
        <v>43100</v>
      </c>
      <c r="F170" s="8">
        <v>39988.730000000003</v>
      </c>
      <c r="G170" s="8">
        <v>49985.91</v>
      </c>
      <c r="H170" s="56">
        <v>43100</v>
      </c>
      <c r="I170" s="24">
        <v>47196.962500000001</v>
      </c>
      <c r="J170" s="70"/>
      <c r="L170" s="112"/>
      <c r="M170" s="112"/>
    </row>
    <row r="171" spans="1:14" ht="24" x14ac:dyDescent="0.25">
      <c r="A171" s="1">
        <v>7</v>
      </c>
      <c r="B171" s="60" t="s">
        <v>196</v>
      </c>
      <c r="C171" s="10" t="str">
        <f>"MGPU-2/2016-F"</f>
        <v>MGPU-2/2016-F</v>
      </c>
      <c r="D171" s="56">
        <v>42748</v>
      </c>
      <c r="E171" s="56">
        <v>43100</v>
      </c>
      <c r="F171" s="8">
        <v>254714.31</v>
      </c>
      <c r="G171" s="8">
        <v>318392.89</v>
      </c>
      <c r="H171" s="56">
        <v>43100</v>
      </c>
      <c r="I171" s="24">
        <v>254397.32499999998</v>
      </c>
      <c r="J171" s="70"/>
      <c r="L171" s="112"/>
      <c r="M171" s="112"/>
    </row>
    <row r="172" spans="1:14" ht="24" x14ac:dyDescent="0.25">
      <c r="A172" s="1">
        <v>8</v>
      </c>
      <c r="B172" s="60" t="s">
        <v>200</v>
      </c>
      <c r="C172" s="10" t="str">
        <f>"533-27-17-0004"</f>
        <v>533-27-17-0004</v>
      </c>
      <c r="D172" s="56">
        <v>42740</v>
      </c>
      <c r="E172" s="56">
        <v>43085</v>
      </c>
      <c r="F172" s="8">
        <v>154508.75</v>
      </c>
      <c r="G172" s="8">
        <v>193135.94</v>
      </c>
      <c r="H172" s="56">
        <v>43100</v>
      </c>
      <c r="I172" s="24">
        <v>131738.70000000001</v>
      </c>
      <c r="J172" s="70"/>
      <c r="L172" s="112"/>
      <c r="M172" s="112"/>
    </row>
    <row r="173" spans="1:14" ht="36" x14ac:dyDescent="0.25">
      <c r="A173" s="1">
        <v>9</v>
      </c>
      <c r="B173" s="60" t="s">
        <v>188</v>
      </c>
      <c r="C173" s="10" t="str">
        <f>"406-01/16-02/14"</f>
        <v>406-01/16-02/14</v>
      </c>
      <c r="D173" s="56">
        <v>42732</v>
      </c>
      <c r="E173" s="56">
        <v>43100</v>
      </c>
      <c r="F173" s="8">
        <v>28198.84</v>
      </c>
      <c r="G173" s="8">
        <v>35248.550000000003</v>
      </c>
      <c r="H173" s="56">
        <v>43100</v>
      </c>
      <c r="I173" s="24">
        <v>32878.649999999994</v>
      </c>
      <c r="J173" s="70"/>
      <c r="L173" s="112"/>
      <c r="M173" s="112"/>
    </row>
    <row r="174" spans="1:14" ht="24" x14ac:dyDescent="0.25">
      <c r="A174" s="1">
        <v>10</v>
      </c>
      <c r="B174" s="60" t="s">
        <v>211</v>
      </c>
      <c r="C174" s="10" t="str">
        <f>"542-01-17-04"</f>
        <v>542-01-17-04</v>
      </c>
      <c r="D174" s="56">
        <v>42740</v>
      </c>
      <c r="E174" s="56">
        <v>43100</v>
      </c>
      <c r="F174" s="8">
        <v>18646.099999999999</v>
      </c>
      <c r="G174" s="8">
        <v>23307.63</v>
      </c>
      <c r="H174" s="56">
        <v>43100</v>
      </c>
      <c r="I174" s="24">
        <v>22099.225000000002</v>
      </c>
      <c r="J174" s="70"/>
      <c r="L174" s="112"/>
      <c r="M174" s="112"/>
    </row>
    <row r="175" spans="1:14" x14ac:dyDescent="0.25">
      <c r="A175" s="1">
        <v>11</v>
      </c>
      <c r="B175" s="60" t="s">
        <v>16</v>
      </c>
      <c r="C175" s="10" t="str">
        <f>"2/2017"</f>
        <v>2/2017</v>
      </c>
      <c r="D175" s="56">
        <v>42740</v>
      </c>
      <c r="E175" s="56">
        <v>43100</v>
      </c>
      <c r="F175" s="8">
        <v>55862.400000000001</v>
      </c>
      <c r="G175" s="8">
        <v>69828</v>
      </c>
      <c r="H175" s="56">
        <v>43100</v>
      </c>
      <c r="I175" s="24">
        <v>69078.75</v>
      </c>
      <c r="J175" s="70"/>
      <c r="L175" s="112"/>
      <c r="M175" s="112"/>
    </row>
    <row r="176" spans="1:14" ht="36" x14ac:dyDescent="0.25">
      <c r="A176" s="1">
        <v>12</v>
      </c>
      <c r="B176" s="60" t="s">
        <v>189</v>
      </c>
      <c r="C176" s="10" t="str">
        <f>"02-C-U-0004/17-21"</f>
        <v>02-C-U-0004/17-21</v>
      </c>
      <c r="D176" s="56">
        <v>42755</v>
      </c>
      <c r="E176" s="56">
        <v>43085</v>
      </c>
      <c r="F176" s="8">
        <v>214063.28</v>
      </c>
      <c r="G176" s="8">
        <v>267579.09999999998</v>
      </c>
      <c r="H176" s="56">
        <v>43085</v>
      </c>
      <c r="I176" s="24">
        <v>77557.225000000006</v>
      </c>
      <c r="J176" s="70"/>
      <c r="L176" s="112"/>
      <c r="M176" s="112"/>
    </row>
    <row r="177" spans="1:14" ht="24" x14ac:dyDescent="0.25">
      <c r="A177" s="1">
        <v>13</v>
      </c>
      <c r="B177" s="60" t="s">
        <v>199</v>
      </c>
      <c r="C177" s="10" t="str">
        <f>"2/2016-F-MHB"</f>
        <v>2/2016-F-MHB</v>
      </c>
      <c r="D177" s="56">
        <v>42732</v>
      </c>
      <c r="E177" s="56">
        <v>43100</v>
      </c>
      <c r="F177" s="8">
        <v>280294.78999999998</v>
      </c>
      <c r="G177" s="8">
        <v>350368.49</v>
      </c>
      <c r="H177" s="56">
        <v>43100</v>
      </c>
      <c r="I177" s="24">
        <v>340395.83749999997</v>
      </c>
      <c r="J177" s="70"/>
      <c r="L177" s="112"/>
      <c r="M177" s="112"/>
    </row>
    <row r="178" spans="1:14" ht="24" x14ac:dyDescent="0.25">
      <c r="A178" s="1">
        <v>14</v>
      </c>
      <c r="B178" s="60" t="s">
        <v>187</v>
      </c>
      <c r="C178" s="10" t="str">
        <f>"2/2016-F-U1"</f>
        <v>2/2016-F-U1</v>
      </c>
      <c r="D178" s="56">
        <v>42736</v>
      </c>
      <c r="E178" s="56">
        <v>43100</v>
      </c>
      <c r="F178" s="8">
        <v>100814.7</v>
      </c>
      <c r="G178" s="8">
        <v>126018.38</v>
      </c>
      <c r="H178" s="56">
        <v>42916</v>
      </c>
      <c r="I178" s="24">
        <v>39281.537499999999</v>
      </c>
      <c r="J178" s="70"/>
      <c r="L178" s="112"/>
      <c r="M178" s="112"/>
    </row>
    <row r="179" spans="1:14" ht="7.5" customHeight="1" x14ac:dyDescent="0.25"/>
    <row r="180" spans="1:14" x14ac:dyDescent="0.25">
      <c r="A180" s="175" t="s">
        <v>21</v>
      </c>
      <c r="B180" s="175"/>
      <c r="C180" s="175"/>
      <c r="D180" s="175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</row>
    <row r="181" spans="1:14" ht="36" x14ac:dyDescent="0.25">
      <c r="A181" s="53" t="s">
        <v>0</v>
      </c>
      <c r="B181" s="54" t="s">
        <v>1</v>
      </c>
      <c r="C181" s="54" t="s">
        <v>3</v>
      </c>
      <c r="D181" s="178" t="s">
        <v>171</v>
      </c>
      <c r="E181" s="178"/>
      <c r="F181" s="54" t="s">
        <v>166</v>
      </c>
      <c r="G181" s="54" t="s">
        <v>170</v>
      </c>
      <c r="H181" s="54" t="s">
        <v>167</v>
      </c>
      <c r="I181" s="54" t="s">
        <v>4</v>
      </c>
      <c r="J181" s="54" t="s">
        <v>5</v>
      </c>
      <c r="K181" s="54" t="s">
        <v>2</v>
      </c>
      <c r="L181" s="54" t="s">
        <v>172</v>
      </c>
      <c r="M181" s="54" t="s">
        <v>173</v>
      </c>
      <c r="N181" s="54" t="s">
        <v>169</v>
      </c>
    </row>
    <row r="182" spans="1:14" ht="26.25" customHeight="1" x14ac:dyDescent="0.25">
      <c r="A182" s="1">
        <v>1</v>
      </c>
      <c r="B182" s="4" t="s">
        <v>22</v>
      </c>
      <c r="C182" s="1" t="s">
        <v>141</v>
      </c>
      <c r="D182" s="181" t="s">
        <v>1049</v>
      </c>
      <c r="E182" s="182"/>
      <c r="F182" s="1" t="s">
        <v>154</v>
      </c>
      <c r="G182" s="1" t="s">
        <v>1011</v>
      </c>
      <c r="H182" s="1" t="s">
        <v>15</v>
      </c>
      <c r="I182" s="15" t="s">
        <v>155</v>
      </c>
      <c r="J182" s="1" t="s">
        <v>57</v>
      </c>
      <c r="K182" s="8">
        <v>924757.62</v>
      </c>
      <c r="L182" s="8">
        <f>K182*0.25</f>
        <v>231189.405</v>
      </c>
      <c r="M182" s="8">
        <f>K182+L182</f>
        <v>1155947.0249999999</v>
      </c>
      <c r="N182" s="176"/>
    </row>
    <row r="183" spans="1:14" ht="15" customHeight="1" x14ac:dyDescent="0.25">
      <c r="A183" s="177" t="s">
        <v>1012</v>
      </c>
      <c r="B183" s="177"/>
      <c r="C183" s="177"/>
      <c r="D183" s="177"/>
      <c r="E183" s="177"/>
      <c r="F183" s="177"/>
      <c r="G183" s="177"/>
      <c r="H183" s="177"/>
      <c r="I183" s="177"/>
      <c r="J183" s="177"/>
      <c r="K183" s="177"/>
      <c r="L183" s="177"/>
      <c r="M183" s="8">
        <v>1235239.8899999999</v>
      </c>
      <c r="N183" s="176"/>
    </row>
    <row r="184" spans="1:14" ht="7.5" customHeight="1" x14ac:dyDescent="0.25">
      <c r="L184" s="47"/>
    </row>
    <row r="185" spans="1:14" ht="15" customHeight="1" x14ac:dyDescent="0.25">
      <c r="A185" s="175" t="s">
        <v>12</v>
      </c>
      <c r="B185" s="175"/>
      <c r="C185" s="175"/>
      <c r="D185" s="175"/>
      <c r="E185" s="175"/>
      <c r="F185" s="175"/>
      <c r="G185" s="175"/>
      <c r="H185" s="175"/>
      <c r="I185" s="175"/>
      <c r="J185" s="175"/>
      <c r="K185" s="49"/>
      <c r="L185" s="49"/>
    </row>
    <row r="186" spans="1:14" ht="48" customHeight="1" x14ac:dyDescent="0.25">
      <c r="A186" s="2" t="s">
        <v>0</v>
      </c>
      <c r="B186" s="3" t="s">
        <v>7</v>
      </c>
      <c r="C186" s="3" t="s">
        <v>6</v>
      </c>
      <c r="D186" s="3" t="s">
        <v>8</v>
      </c>
      <c r="E186" s="3" t="s">
        <v>168</v>
      </c>
      <c r="F186" s="3" t="s">
        <v>174</v>
      </c>
      <c r="G186" s="3" t="s">
        <v>175</v>
      </c>
      <c r="H186" s="3" t="s">
        <v>9</v>
      </c>
      <c r="I186" s="3" t="s">
        <v>176</v>
      </c>
      <c r="J186" s="3" t="s">
        <v>10</v>
      </c>
      <c r="L186" s="48"/>
      <c r="M186" s="48"/>
    </row>
    <row r="187" spans="1:14" ht="24" x14ac:dyDescent="0.25">
      <c r="A187" s="1">
        <v>1</v>
      </c>
      <c r="B187" s="9" t="s">
        <v>185</v>
      </c>
      <c r="C187" s="9" t="str">
        <f>"2/2016-KST UGOVOR"</f>
        <v>2/2016-KST UGOVOR</v>
      </c>
      <c r="D187" s="11">
        <v>42762</v>
      </c>
      <c r="E187" s="11">
        <v>43090</v>
      </c>
      <c r="F187" s="8">
        <v>250821.32</v>
      </c>
      <c r="G187" s="8">
        <v>313526.65000000002</v>
      </c>
      <c r="H187" s="11">
        <v>43090</v>
      </c>
      <c r="I187" s="24">
        <v>246594.82499999998</v>
      </c>
      <c r="J187" s="8"/>
      <c r="L187" s="112"/>
      <c r="M187" s="112"/>
    </row>
    <row r="188" spans="1:14" ht="36" x14ac:dyDescent="0.25">
      <c r="A188" s="1">
        <v>2</v>
      </c>
      <c r="B188" s="9" t="s">
        <v>97</v>
      </c>
      <c r="C188" s="9" t="str">
        <f>"030-01/16-01/66"</f>
        <v>030-01/16-01/66</v>
      </c>
      <c r="D188" s="11">
        <v>42760</v>
      </c>
      <c r="E188" s="11">
        <v>43100</v>
      </c>
      <c r="F188" s="8">
        <v>181056</v>
      </c>
      <c r="G188" s="8">
        <v>226320</v>
      </c>
      <c r="H188" s="11">
        <v>43100</v>
      </c>
      <c r="I188" s="24">
        <v>216222.6875</v>
      </c>
      <c r="J188" s="8"/>
      <c r="L188" s="112"/>
      <c r="M188" s="112"/>
    </row>
    <row r="189" spans="1:14" x14ac:dyDescent="0.25">
      <c r="A189" s="1">
        <v>3</v>
      </c>
      <c r="B189" s="9" t="s">
        <v>17</v>
      </c>
      <c r="C189" s="9" t="str">
        <f>"13-DUSJN/16"</f>
        <v>13-DUSJN/16</v>
      </c>
      <c r="D189" s="11">
        <v>42736</v>
      </c>
      <c r="E189" s="11">
        <v>43100</v>
      </c>
      <c r="F189" s="8">
        <v>216168.1</v>
      </c>
      <c r="G189" s="8">
        <v>270210.13</v>
      </c>
      <c r="H189" s="11">
        <v>43100</v>
      </c>
      <c r="I189" s="24">
        <v>519642.58750000002</v>
      </c>
      <c r="J189" s="8"/>
      <c r="L189" s="112"/>
      <c r="M189" s="112"/>
    </row>
    <row r="190" spans="1:14" ht="24" x14ac:dyDescent="0.25">
      <c r="A190" s="1">
        <v>4</v>
      </c>
      <c r="B190" s="9" t="s">
        <v>197</v>
      </c>
      <c r="C190" s="9" t="str">
        <f>"U150/16"</f>
        <v>U150/16</v>
      </c>
      <c r="D190" s="11">
        <v>42737</v>
      </c>
      <c r="E190" s="11">
        <v>43100</v>
      </c>
      <c r="F190" s="8">
        <v>250813.08</v>
      </c>
      <c r="G190" s="8">
        <v>313516.34999999998</v>
      </c>
      <c r="H190" s="11">
        <v>43100</v>
      </c>
      <c r="I190" s="24">
        <v>252779.78749999998</v>
      </c>
      <c r="J190" s="8"/>
      <c r="L190" s="112"/>
      <c r="M190" s="112"/>
    </row>
    <row r="192" spans="1:14" x14ac:dyDescent="0.25">
      <c r="B192" s="174" t="s">
        <v>2028</v>
      </c>
      <c r="C192" s="174"/>
      <c r="D192" s="174"/>
      <c r="E192" s="174"/>
      <c r="F192" s="174"/>
      <c r="G192" s="174"/>
      <c r="H192" s="174"/>
      <c r="I192" s="174"/>
      <c r="J192" s="174"/>
    </row>
  </sheetData>
  <sheetProtection algorithmName="SHA-512" hashValue="8A8buYHJD/p9uMkNIdjZgp1hm3jVSG5YA5J38j7IH0cNwyNqqG10c359wpwkaGU12X/a5eU31iFF2K9OJ9/J2A==" saltValue="g1iYloJCyZKWCPemMd1Htw==" spinCount="100000" sheet="1" objects="1" scenarios="1"/>
  <mergeCells count="31">
    <mergeCell ref="A1:N1"/>
    <mergeCell ref="D2:E2"/>
    <mergeCell ref="D3:E3"/>
    <mergeCell ref="N3:N4"/>
    <mergeCell ref="A4:L4"/>
    <mergeCell ref="A6:J6"/>
    <mergeCell ref="A71:N71"/>
    <mergeCell ref="D72:E72"/>
    <mergeCell ref="D73:E73"/>
    <mergeCell ref="N73:N74"/>
    <mergeCell ref="A74:L74"/>
    <mergeCell ref="A76:J76"/>
    <mergeCell ref="A144:N144"/>
    <mergeCell ref="D145:E145"/>
    <mergeCell ref="D146:E146"/>
    <mergeCell ref="N146:N147"/>
    <mergeCell ref="A147:L147"/>
    <mergeCell ref="A149:J149"/>
    <mergeCell ref="A158:N158"/>
    <mergeCell ref="D159:E159"/>
    <mergeCell ref="D160:E160"/>
    <mergeCell ref="N160:N161"/>
    <mergeCell ref="A161:L161"/>
    <mergeCell ref="B192:J192"/>
    <mergeCell ref="A185:J185"/>
    <mergeCell ref="A163:J163"/>
    <mergeCell ref="A180:N180"/>
    <mergeCell ref="D181:E181"/>
    <mergeCell ref="D182:E182"/>
    <mergeCell ref="N182:N183"/>
    <mergeCell ref="A183:L183"/>
  </mergeCells>
  <pageMargins left="0.23622047244094491" right="0.23622047244094491" top="0.98425196850393704" bottom="0.59055118110236227" header="0.31496062992125984" footer="0.31496062992125984"/>
  <pageSetup scale="69" fitToHeight="0" orientation="landscape" r:id="rId1"/>
  <headerFooter>
    <oddHeader>&amp;L&amp;G&amp;CRegistar okvirnih sporazuma i ugovora za 2016. godinu 
za predmete nabave iz nadležnosti Središnjeg državnog ureda za središnju javnu nabavu</oddHeader>
    <oddFooter>&amp;L&amp;D&amp;C &amp;A&amp;R&amp;P/&amp;N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N211"/>
  <sheetViews>
    <sheetView view="pageLayout" zoomScaleNormal="100" workbookViewId="0">
      <selection sqref="A1:N1"/>
    </sheetView>
  </sheetViews>
  <sheetFormatPr defaultRowHeight="15" x14ac:dyDescent="0.25"/>
  <cols>
    <col min="1" max="1" width="4.85546875" customWidth="1"/>
    <col min="2" max="2" width="26.140625" customWidth="1"/>
    <col min="3" max="3" width="12.140625" customWidth="1"/>
    <col min="4" max="4" width="13.42578125" customWidth="1"/>
    <col min="5" max="5" width="14" customWidth="1"/>
    <col min="6" max="6" width="15.28515625" customWidth="1"/>
    <col min="7" max="10" width="13.5703125" customWidth="1"/>
    <col min="11" max="12" width="14.28515625" customWidth="1"/>
    <col min="13" max="13" width="14.140625" customWidth="1"/>
    <col min="14" max="14" width="11.42578125" customWidth="1"/>
  </cols>
  <sheetData>
    <row r="1" spans="1:14" x14ac:dyDescent="0.25">
      <c r="A1" s="175" t="s">
        <v>13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36" x14ac:dyDescent="0.25">
      <c r="A2" s="53" t="s">
        <v>0</v>
      </c>
      <c r="B2" s="54" t="s">
        <v>1</v>
      </c>
      <c r="C2" s="54" t="s">
        <v>3</v>
      </c>
      <c r="D2" s="178" t="s">
        <v>171</v>
      </c>
      <c r="E2" s="178"/>
      <c r="F2" s="54" t="s">
        <v>166</v>
      </c>
      <c r="G2" s="54" t="s">
        <v>170</v>
      </c>
      <c r="H2" s="54" t="s">
        <v>167</v>
      </c>
      <c r="I2" s="54" t="s">
        <v>4</v>
      </c>
      <c r="J2" s="54" t="s">
        <v>5</v>
      </c>
      <c r="K2" s="54" t="s">
        <v>2</v>
      </c>
      <c r="L2" s="54" t="s">
        <v>172</v>
      </c>
      <c r="M2" s="54" t="s">
        <v>173</v>
      </c>
      <c r="N2" s="54" t="s">
        <v>169</v>
      </c>
    </row>
    <row r="3" spans="1:14" x14ac:dyDescent="0.25">
      <c r="A3" s="1">
        <v>1</v>
      </c>
      <c r="B3" s="4" t="s">
        <v>14</v>
      </c>
      <c r="C3" s="1" t="s">
        <v>80</v>
      </c>
      <c r="D3" s="185" t="s">
        <v>1019</v>
      </c>
      <c r="E3" s="186"/>
      <c r="F3" s="38" t="s">
        <v>100</v>
      </c>
      <c r="G3" s="38" t="s">
        <v>1000</v>
      </c>
      <c r="H3" s="1" t="s">
        <v>15</v>
      </c>
      <c r="I3" s="15">
        <v>42458</v>
      </c>
      <c r="J3" s="1" t="s">
        <v>51</v>
      </c>
      <c r="K3" s="5">
        <v>6398840</v>
      </c>
      <c r="L3" s="84">
        <f>K3*0.25</f>
        <v>1599710</v>
      </c>
      <c r="M3" s="84">
        <f>K3+L3</f>
        <v>7998550</v>
      </c>
      <c r="N3" s="176"/>
    </row>
    <row r="4" spans="1:14" ht="15" customHeight="1" x14ac:dyDescent="0.25">
      <c r="A4" s="177" t="s">
        <v>1012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97">
        <v>3120753.45</v>
      </c>
      <c r="N4" s="176"/>
    </row>
    <row r="5" spans="1:14" ht="7.5" customHeight="1" x14ac:dyDescent="0.25">
      <c r="L5" s="47"/>
    </row>
    <row r="6" spans="1:14" ht="15" customHeight="1" x14ac:dyDescent="0.25">
      <c r="A6" s="175" t="s">
        <v>12</v>
      </c>
      <c r="B6" s="175"/>
      <c r="C6" s="175"/>
      <c r="D6" s="175"/>
      <c r="E6" s="175"/>
      <c r="F6" s="175"/>
      <c r="G6" s="175"/>
      <c r="H6" s="175"/>
      <c r="I6" s="175"/>
      <c r="J6" s="175"/>
      <c r="K6" s="49"/>
      <c r="L6" s="49"/>
    </row>
    <row r="7" spans="1:14" ht="48" customHeight="1" x14ac:dyDescent="0.25">
      <c r="A7" s="2" t="s">
        <v>0</v>
      </c>
      <c r="B7" s="3" t="s">
        <v>7</v>
      </c>
      <c r="C7" s="3" t="s">
        <v>6</v>
      </c>
      <c r="D7" s="3" t="s">
        <v>8</v>
      </c>
      <c r="E7" s="3" t="s">
        <v>168</v>
      </c>
      <c r="F7" s="3" t="s">
        <v>174</v>
      </c>
      <c r="G7" s="3" t="s">
        <v>175</v>
      </c>
      <c r="H7" s="3" t="s">
        <v>9</v>
      </c>
      <c r="I7" s="3" t="s">
        <v>176</v>
      </c>
      <c r="J7" s="3" t="s">
        <v>10</v>
      </c>
      <c r="L7" s="48"/>
      <c r="M7" s="48"/>
    </row>
    <row r="8" spans="1:14" ht="24" x14ac:dyDescent="0.25">
      <c r="A8" s="1">
        <v>1</v>
      </c>
      <c r="B8" s="6" t="s">
        <v>203</v>
      </c>
      <c r="C8" s="7" t="s">
        <v>415</v>
      </c>
      <c r="D8" s="56">
        <v>43070</v>
      </c>
      <c r="E8" s="56">
        <v>43070</v>
      </c>
      <c r="F8" s="8">
        <v>342</v>
      </c>
      <c r="G8" s="8">
        <v>427.5</v>
      </c>
      <c r="H8" s="56">
        <v>43070</v>
      </c>
      <c r="I8" s="37">
        <v>427.5</v>
      </c>
      <c r="J8" s="8"/>
    </row>
    <row r="9" spans="1:14" ht="24" x14ac:dyDescent="0.25">
      <c r="A9" s="1">
        <v>2</v>
      </c>
      <c r="B9" s="6" t="s">
        <v>190</v>
      </c>
      <c r="C9" s="7" t="s">
        <v>416</v>
      </c>
      <c r="D9" s="56">
        <v>43063</v>
      </c>
      <c r="E9" s="56">
        <v>43081</v>
      </c>
      <c r="F9" s="8">
        <v>2760</v>
      </c>
      <c r="G9" s="8">
        <v>3450</v>
      </c>
      <c r="H9" s="56">
        <v>43081</v>
      </c>
      <c r="I9" s="37">
        <v>3450</v>
      </c>
      <c r="J9" s="8"/>
    </row>
    <row r="10" spans="1:14" ht="24" x14ac:dyDescent="0.25">
      <c r="A10" s="1">
        <v>3</v>
      </c>
      <c r="B10" s="6" t="s">
        <v>18</v>
      </c>
      <c r="C10" s="7" t="s">
        <v>417</v>
      </c>
      <c r="D10" s="56">
        <v>43033</v>
      </c>
      <c r="E10" s="56">
        <v>43100</v>
      </c>
      <c r="F10" s="8">
        <v>119072.9</v>
      </c>
      <c r="G10" s="8">
        <v>148841.13</v>
      </c>
      <c r="H10" s="56">
        <v>43100</v>
      </c>
      <c r="I10" s="37">
        <v>130249.41250000001</v>
      </c>
      <c r="J10" s="8"/>
    </row>
    <row r="11" spans="1:14" ht="36" x14ac:dyDescent="0.25">
      <c r="A11" s="1">
        <v>4</v>
      </c>
      <c r="B11" s="6" t="s">
        <v>191</v>
      </c>
      <c r="C11" s="7" t="s">
        <v>418</v>
      </c>
      <c r="D11" s="56">
        <v>43026</v>
      </c>
      <c r="E11" s="56">
        <v>43066</v>
      </c>
      <c r="F11" s="8">
        <v>5568</v>
      </c>
      <c r="G11" s="8">
        <v>6960</v>
      </c>
      <c r="H11" s="56">
        <v>43066</v>
      </c>
      <c r="I11" s="37">
        <v>6960</v>
      </c>
      <c r="J11" s="8"/>
    </row>
    <row r="12" spans="1:14" ht="36" x14ac:dyDescent="0.25">
      <c r="A12" s="1">
        <v>5</v>
      </c>
      <c r="B12" s="6" t="s">
        <v>188</v>
      </c>
      <c r="C12" s="7" t="s">
        <v>419</v>
      </c>
      <c r="D12" s="56">
        <v>43017</v>
      </c>
      <c r="E12" s="56">
        <v>43076</v>
      </c>
      <c r="F12" s="8">
        <v>897.01</v>
      </c>
      <c r="G12" s="8">
        <v>1121.26</v>
      </c>
      <c r="H12" s="56">
        <v>43100</v>
      </c>
      <c r="I12" s="37">
        <v>1121.2625</v>
      </c>
      <c r="J12" s="8"/>
    </row>
    <row r="13" spans="1:14" ht="24" x14ac:dyDescent="0.25">
      <c r="A13" s="1">
        <v>6</v>
      </c>
      <c r="B13" s="6" t="s">
        <v>190</v>
      </c>
      <c r="C13" s="7" t="s">
        <v>420</v>
      </c>
      <c r="D13" s="56">
        <v>43011</v>
      </c>
      <c r="E13" s="56">
        <v>43025</v>
      </c>
      <c r="F13" s="8">
        <v>2760</v>
      </c>
      <c r="G13" s="8">
        <v>3450</v>
      </c>
      <c r="H13" s="56">
        <v>43025</v>
      </c>
      <c r="I13" s="37">
        <v>3450</v>
      </c>
      <c r="J13" s="8"/>
    </row>
    <row r="14" spans="1:14" ht="24" x14ac:dyDescent="0.25">
      <c r="A14" s="1">
        <v>7</v>
      </c>
      <c r="B14" s="6" t="s">
        <v>18</v>
      </c>
      <c r="C14" s="7" t="s">
        <v>421</v>
      </c>
      <c r="D14" s="56">
        <v>42922</v>
      </c>
      <c r="E14" s="56">
        <v>43008</v>
      </c>
      <c r="F14" s="8">
        <v>96006.9</v>
      </c>
      <c r="G14" s="8">
        <v>120008.63</v>
      </c>
      <c r="H14" s="56">
        <v>43008</v>
      </c>
      <c r="I14" s="37">
        <v>119929.88750000001</v>
      </c>
      <c r="J14" s="8"/>
    </row>
    <row r="15" spans="1:14" ht="24" x14ac:dyDescent="0.25">
      <c r="A15" s="1">
        <v>8</v>
      </c>
      <c r="B15" s="6" t="s">
        <v>190</v>
      </c>
      <c r="C15" s="7" t="s">
        <v>422</v>
      </c>
      <c r="D15" s="56">
        <v>42972</v>
      </c>
      <c r="E15" s="56">
        <v>42986</v>
      </c>
      <c r="F15" s="8">
        <v>2760</v>
      </c>
      <c r="G15" s="8">
        <v>3450</v>
      </c>
      <c r="H15" s="56">
        <v>42986</v>
      </c>
      <c r="I15" s="37">
        <v>3450</v>
      </c>
      <c r="J15" s="8"/>
    </row>
    <row r="16" spans="1:14" ht="36" x14ac:dyDescent="0.25">
      <c r="A16" s="1">
        <v>9</v>
      </c>
      <c r="B16" s="6" t="s">
        <v>188</v>
      </c>
      <c r="C16" s="7" t="s">
        <v>423</v>
      </c>
      <c r="D16" s="56">
        <v>42951</v>
      </c>
      <c r="E16" s="56">
        <v>42951</v>
      </c>
      <c r="F16" s="8">
        <v>435</v>
      </c>
      <c r="G16" s="8">
        <v>543.75</v>
      </c>
      <c r="H16" s="56">
        <v>43008</v>
      </c>
      <c r="I16" s="37">
        <v>543.75</v>
      </c>
      <c r="J16" s="8"/>
    </row>
    <row r="17" spans="1:10" ht="24" x14ac:dyDescent="0.25">
      <c r="A17" s="1">
        <v>10</v>
      </c>
      <c r="B17" s="6" t="s">
        <v>191</v>
      </c>
      <c r="C17" s="7" t="s">
        <v>424</v>
      </c>
      <c r="D17" s="56">
        <v>42934</v>
      </c>
      <c r="E17" s="56">
        <v>42996</v>
      </c>
      <c r="F17" s="8">
        <v>4425</v>
      </c>
      <c r="G17" s="8">
        <v>5531.25</v>
      </c>
      <c r="H17" s="56">
        <v>43008</v>
      </c>
      <c r="I17" s="37">
        <v>5531.25</v>
      </c>
      <c r="J17" s="8"/>
    </row>
    <row r="18" spans="1:10" ht="24" x14ac:dyDescent="0.25">
      <c r="A18" s="1">
        <v>11</v>
      </c>
      <c r="B18" s="6" t="s">
        <v>203</v>
      </c>
      <c r="C18" s="7" t="s">
        <v>425</v>
      </c>
      <c r="D18" s="56">
        <v>42928</v>
      </c>
      <c r="E18" s="56">
        <v>43003</v>
      </c>
      <c r="F18" s="8">
        <v>889.5</v>
      </c>
      <c r="G18" s="8">
        <v>1111.8800000000001</v>
      </c>
      <c r="H18" s="56">
        <v>43008</v>
      </c>
      <c r="I18" s="37">
        <v>1111.875</v>
      </c>
      <c r="J18" s="8"/>
    </row>
    <row r="19" spans="1:10" ht="24" x14ac:dyDescent="0.25">
      <c r="A19" s="1">
        <v>12</v>
      </c>
      <c r="B19" s="6" t="s">
        <v>190</v>
      </c>
      <c r="C19" s="7" t="s">
        <v>426</v>
      </c>
      <c r="D19" s="56">
        <v>42899</v>
      </c>
      <c r="E19" s="56">
        <v>42909</v>
      </c>
      <c r="F19" s="8">
        <v>2760</v>
      </c>
      <c r="G19" s="8">
        <v>3450</v>
      </c>
      <c r="H19" s="56">
        <v>42909</v>
      </c>
      <c r="I19" s="37">
        <v>3450</v>
      </c>
      <c r="J19" s="8"/>
    </row>
    <row r="20" spans="1:10" ht="24" x14ac:dyDescent="0.25">
      <c r="A20" s="1">
        <v>13</v>
      </c>
      <c r="B20" s="6" t="s">
        <v>194</v>
      </c>
      <c r="C20" s="7" t="s">
        <v>427</v>
      </c>
      <c r="D20" s="56">
        <v>42879</v>
      </c>
      <c r="E20" s="56">
        <v>43187</v>
      </c>
      <c r="F20" s="8">
        <v>96472</v>
      </c>
      <c r="G20" s="8">
        <v>120590</v>
      </c>
      <c r="H20" s="56">
        <v>43100</v>
      </c>
      <c r="I20" s="37">
        <v>71490</v>
      </c>
      <c r="J20" s="8"/>
    </row>
    <row r="21" spans="1:10" ht="36" x14ac:dyDescent="0.25">
      <c r="A21" s="1">
        <v>14</v>
      </c>
      <c r="B21" s="6" t="s">
        <v>188</v>
      </c>
      <c r="C21" s="7" t="s">
        <v>428</v>
      </c>
      <c r="D21" s="56">
        <v>42871</v>
      </c>
      <c r="E21" s="56">
        <v>42871</v>
      </c>
      <c r="F21" s="8">
        <v>435</v>
      </c>
      <c r="G21" s="8">
        <v>543.75</v>
      </c>
      <c r="H21" s="56">
        <v>42916</v>
      </c>
      <c r="I21" s="37">
        <v>543.75</v>
      </c>
      <c r="J21" s="8"/>
    </row>
    <row r="22" spans="1:10" ht="36" x14ac:dyDescent="0.25">
      <c r="A22" s="1">
        <v>15</v>
      </c>
      <c r="B22" s="6" t="s">
        <v>203</v>
      </c>
      <c r="C22" s="7" t="s">
        <v>429</v>
      </c>
      <c r="D22" s="56">
        <v>42866</v>
      </c>
      <c r="E22" s="56">
        <v>42906</v>
      </c>
      <c r="F22" s="8">
        <v>961.86</v>
      </c>
      <c r="G22" s="8">
        <v>1202.33</v>
      </c>
      <c r="H22" s="56">
        <v>42916</v>
      </c>
      <c r="I22" s="37">
        <v>1202.325</v>
      </c>
      <c r="J22" s="8"/>
    </row>
    <row r="23" spans="1:10" x14ac:dyDescent="0.25">
      <c r="A23" s="1">
        <v>16</v>
      </c>
      <c r="B23" s="6" t="s">
        <v>198</v>
      </c>
      <c r="C23" s="7" t="s">
        <v>430</v>
      </c>
      <c r="D23" s="56">
        <v>42844</v>
      </c>
      <c r="E23" s="56">
        <v>43188</v>
      </c>
      <c r="F23" s="8">
        <v>69384</v>
      </c>
      <c r="G23" s="8">
        <v>86730</v>
      </c>
      <c r="H23" s="56">
        <v>43100</v>
      </c>
      <c r="I23" s="37">
        <v>48825.662499999999</v>
      </c>
      <c r="J23" s="8"/>
    </row>
    <row r="24" spans="1:10" ht="24" x14ac:dyDescent="0.25">
      <c r="A24" s="1">
        <v>17</v>
      </c>
      <c r="B24" s="6" t="s">
        <v>187</v>
      </c>
      <c r="C24" s="7" t="s">
        <v>431</v>
      </c>
      <c r="D24" s="56">
        <v>42853</v>
      </c>
      <c r="E24" s="56">
        <v>43188</v>
      </c>
      <c r="F24" s="8">
        <v>18983.2</v>
      </c>
      <c r="G24" s="8">
        <v>23729</v>
      </c>
      <c r="H24" s="56">
        <v>42916</v>
      </c>
      <c r="I24" s="37">
        <v>4972.5749999999998</v>
      </c>
      <c r="J24" s="8"/>
    </row>
    <row r="25" spans="1:10" ht="24" x14ac:dyDescent="0.25">
      <c r="A25" s="1">
        <v>18</v>
      </c>
      <c r="B25" s="6" t="s">
        <v>196</v>
      </c>
      <c r="C25" s="7" t="s">
        <v>432</v>
      </c>
      <c r="D25" s="56">
        <v>42851</v>
      </c>
      <c r="E25" s="56">
        <v>43188</v>
      </c>
      <c r="F25" s="8">
        <v>35430</v>
      </c>
      <c r="G25" s="8">
        <v>44287.5</v>
      </c>
      <c r="H25" s="56">
        <v>43100</v>
      </c>
      <c r="I25" s="37">
        <v>29033.25</v>
      </c>
      <c r="J25" s="8"/>
    </row>
    <row r="26" spans="1:10" ht="24" x14ac:dyDescent="0.25">
      <c r="A26" s="1">
        <v>19</v>
      </c>
      <c r="B26" s="6" t="s">
        <v>190</v>
      </c>
      <c r="C26" s="7" t="s">
        <v>433</v>
      </c>
      <c r="D26" s="56">
        <v>42844</v>
      </c>
      <c r="E26" s="56">
        <v>42851</v>
      </c>
      <c r="F26" s="8">
        <v>2760</v>
      </c>
      <c r="G26" s="8">
        <v>3450</v>
      </c>
      <c r="H26" s="56">
        <v>42851</v>
      </c>
      <c r="I26" s="37">
        <v>3450</v>
      </c>
      <c r="J26" s="8"/>
    </row>
    <row r="27" spans="1:10" ht="24" x14ac:dyDescent="0.25">
      <c r="A27" s="1">
        <v>20</v>
      </c>
      <c r="B27" s="6" t="s">
        <v>186</v>
      </c>
      <c r="C27" s="7" t="s">
        <v>434</v>
      </c>
      <c r="D27" s="56">
        <v>42832</v>
      </c>
      <c r="E27" s="56">
        <v>43201</v>
      </c>
      <c r="F27" s="8">
        <v>53364</v>
      </c>
      <c r="G27" s="8">
        <v>66705</v>
      </c>
      <c r="H27" s="56">
        <v>43008</v>
      </c>
      <c r="I27" s="37">
        <v>26840.25</v>
      </c>
      <c r="J27" s="8"/>
    </row>
    <row r="28" spans="1:10" x14ac:dyDescent="0.25">
      <c r="A28" s="1">
        <v>21</v>
      </c>
      <c r="B28" s="6" t="s">
        <v>16</v>
      </c>
      <c r="C28" s="7" t="s">
        <v>435</v>
      </c>
      <c r="D28" s="56">
        <v>42830</v>
      </c>
      <c r="E28" s="56">
        <v>43185</v>
      </c>
      <c r="F28" s="8">
        <v>25950</v>
      </c>
      <c r="G28" s="8">
        <v>32437.5</v>
      </c>
      <c r="H28" s="56">
        <v>43100</v>
      </c>
      <c r="I28" s="37">
        <v>19207.5</v>
      </c>
      <c r="J28" s="8"/>
    </row>
    <row r="29" spans="1:10" ht="36" x14ac:dyDescent="0.25">
      <c r="A29" s="1">
        <v>22</v>
      </c>
      <c r="B29" s="6" t="s">
        <v>191</v>
      </c>
      <c r="C29" s="7" t="s">
        <v>436</v>
      </c>
      <c r="D29" s="56">
        <v>42826</v>
      </c>
      <c r="E29" s="56">
        <v>42826</v>
      </c>
      <c r="F29" s="8">
        <v>7128</v>
      </c>
      <c r="G29" s="8">
        <v>8910</v>
      </c>
      <c r="H29" s="56">
        <v>42916</v>
      </c>
      <c r="I29" s="37">
        <v>8910</v>
      </c>
      <c r="J29" s="8"/>
    </row>
    <row r="30" spans="1:10" ht="24" x14ac:dyDescent="0.25">
      <c r="A30" s="1">
        <v>23</v>
      </c>
      <c r="B30" s="6" t="s">
        <v>201</v>
      </c>
      <c r="C30" s="7" t="s">
        <v>437</v>
      </c>
      <c r="D30" s="56">
        <v>42826</v>
      </c>
      <c r="E30" s="56">
        <v>43188</v>
      </c>
      <c r="F30" s="8">
        <v>18420</v>
      </c>
      <c r="G30" s="8">
        <v>23025</v>
      </c>
      <c r="H30" s="56">
        <v>43100</v>
      </c>
      <c r="I30" s="37">
        <v>6481</v>
      </c>
      <c r="J30" s="8"/>
    </row>
    <row r="31" spans="1:10" ht="24" x14ac:dyDescent="0.25">
      <c r="A31" s="1">
        <v>24</v>
      </c>
      <c r="B31" s="6" t="s">
        <v>199</v>
      </c>
      <c r="C31" s="7" t="s">
        <v>438</v>
      </c>
      <c r="D31" s="56">
        <v>42786</v>
      </c>
      <c r="E31" s="56">
        <v>43100</v>
      </c>
      <c r="F31" s="8">
        <v>47339.7</v>
      </c>
      <c r="G31" s="8">
        <v>59174.63</v>
      </c>
      <c r="H31" s="56">
        <v>43100</v>
      </c>
      <c r="I31" s="37">
        <v>59510.912500000006</v>
      </c>
      <c r="J31" s="8"/>
    </row>
    <row r="32" spans="1:10" ht="24" x14ac:dyDescent="0.25">
      <c r="A32" s="1">
        <v>25</v>
      </c>
      <c r="B32" s="6" t="s">
        <v>200</v>
      </c>
      <c r="C32" s="7" t="s">
        <v>439</v>
      </c>
      <c r="D32" s="56">
        <v>42786</v>
      </c>
      <c r="E32" s="56">
        <v>43100</v>
      </c>
      <c r="F32" s="8">
        <v>29447.4</v>
      </c>
      <c r="G32" s="8">
        <v>36809.25</v>
      </c>
      <c r="H32" s="56">
        <v>42916</v>
      </c>
      <c r="I32" s="37">
        <v>10650</v>
      </c>
      <c r="J32" s="8"/>
    </row>
    <row r="33" spans="1:10" ht="24" x14ac:dyDescent="0.25">
      <c r="A33" s="1">
        <v>26</v>
      </c>
      <c r="B33" s="6" t="s">
        <v>18</v>
      </c>
      <c r="C33" s="7" t="s">
        <v>440</v>
      </c>
      <c r="D33" s="56">
        <v>42786</v>
      </c>
      <c r="E33" s="56">
        <v>42825</v>
      </c>
      <c r="F33" s="8">
        <v>87257.83</v>
      </c>
      <c r="G33" s="8">
        <v>109072.29</v>
      </c>
      <c r="H33" s="56">
        <v>42916</v>
      </c>
      <c r="I33" s="37">
        <v>109072.3125</v>
      </c>
      <c r="J33" s="8"/>
    </row>
    <row r="34" spans="1:10" ht="24" x14ac:dyDescent="0.25">
      <c r="A34" s="1">
        <v>27</v>
      </c>
      <c r="B34" s="6" t="s">
        <v>190</v>
      </c>
      <c r="C34" s="7" t="s">
        <v>441</v>
      </c>
      <c r="D34" s="56">
        <v>42773</v>
      </c>
      <c r="E34" s="56">
        <v>42787</v>
      </c>
      <c r="F34" s="8">
        <v>3024</v>
      </c>
      <c r="G34" s="8">
        <v>3780</v>
      </c>
      <c r="H34" s="56">
        <v>42825</v>
      </c>
      <c r="I34" s="37">
        <v>3780</v>
      </c>
      <c r="J34" s="8"/>
    </row>
    <row r="35" spans="1:10" ht="24" x14ac:dyDescent="0.25">
      <c r="A35" s="1">
        <v>28</v>
      </c>
      <c r="B35" s="6" t="s">
        <v>203</v>
      </c>
      <c r="C35" s="7" t="s">
        <v>442</v>
      </c>
      <c r="D35" s="56">
        <v>42759</v>
      </c>
      <c r="E35" s="56">
        <v>42790</v>
      </c>
      <c r="F35" s="8">
        <v>1011</v>
      </c>
      <c r="G35" s="8">
        <v>1263.75</v>
      </c>
      <c r="H35" s="56">
        <v>42825</v>
      </c>
      <c r="I35" s="37">
        <v>1263.75</v>
      </c>
      <c r="J35" s="8"/>
    </row>
    <row r="36" spans="1:10" ht="36" x14ac:dyDescent="0.25">
      <c r="A36" s="1">
        <v>29</v>
      </c>
      <c r="B36" s="6" t="s">
        <v>188</v>
      </c>
      <c r="C36" s="7" t="s">
        <v>443</v>
      </c>
      <c r="D36" s="56">
        <v>42753</v>
      </c>
      <c r="E36" s="56">
        <v>42822</v>
      </c>
      <c r="F36" s="8">
        <v>975</v>
      </c>
      <c r="G36" s="8">
        <v>1218.75</v>
      </c>
      <c r="H36" s="56">
        <v>42825</v>
      </c>
      <c r="I36" s="37">
        <v>1218.75</v>
      </c>
      <c r="J36" s="8"/>
    </row>
    <row r="37" spans="1:10" ht="24" x14ac:dyDescent="0.25">
      <c r="A37" s="1">
        <v>30</v>
      </c>
      <c r="B37" s="6" t="s">
        <v>191</v>
      </c>
      <c r="C37" s="7" t="s">
        <v>444</v>
      </c>
      <c r="D37" s="56">
        <v>42752</v>
      </c>
      <c r="E37" s="56">
        <v>42825</v>
      </c>
      <c r="F37" s="8">
        <v>6009</v>
      </c>
      <c r="G37" s="8">
        <v>7511.25</v>
      </c>
      <c r="H37" s="56">
        <v>42825</v>
      </c>
      <c r="I37" s="37">
        <v>7511.25</v>
      </c>
      <c r="J37" s="8"/>
    </row>
    <row r="38" spans="1:10" ht="24" x14ac:dyDescent="0.25">
      <c r="A38" s="1">
        <v>31</v>
      </c>
      <c r="B38" s="6" t="s">
        <v>205</v>
      </c>
      <c r="C38" s="7" t="s">
        <v>445</v>
      </c>
      <c r="D38" s="56">
        <v>42746</v>
      </c>
      <c r="E38" s="56">
        <v>43100</v>
      </c>
      <c r="F38" s="8">
        <v>25957</v>
      </c>
      <c r="G38" s="8">
        <v>32446.25</v>
      </c>
      <c r="H38" s="56">
        <v>43100</v>
      </c>
      <c r="I38" s="37">
        <v>19328.5</v>
      </c>
      <c r="J38" s="8"/>
    </row>
    <row r="39" spans="1:10" ht="36" x14ac:dyDescent="0.25">
      <c r="A39" s="1">
        <v>32</v>
      </c>
      <c r="B39" s="6" t="s">
        <v>206</v>
      </c>
      <c r="C39" s="7" t="s">
        <v>446</v>
      </c>
      <c r="D39" s="56">
        <v>42736</v>
      </c>
      <c r="E39" s="56">
        <v>43100</v>
      </c>
      <c r="F39" s="8">
        <v>8800</v>
      </c>
      <c r="G39" s="8">
        <v>11000</v>
      </c>
      <c r="H39" s="56">
        <v>43100</v>
      </c>
      <c r="I39" s="37">
        <v>7621.125</v>
      </c>
      <c r="J39" s="8"/>
    </row>
    <row r="40" spans="1:10" ht="24" x14ac:dyDescent="0.25">
      <c r="A40" s="1">
        <v>33</v>
      </c>
      <c r="B40" s="6" t="s">
        <v>204</v>
      </c>
      <c r="C40" s="7" t="s">
        <v>447</v>
      </c>
      <c r="D40" s="56">
        <v>42734</v>
      </c>
      <c r="E40" s="56">
        <v>43100</v>
      </c>
      <c r="F40" s="8">
        <v>72075</v>
      </c>
      <c r="G40" s="8">
        <v>90093.75</v>
      </c>
      <c r="H40" s="56">
        <v>43100</v>
      </c>
      <c r="I40" s="37">
        <v>82686.375</v>
      </c>
      <c r="J40" s="8"/>
    </row>
    <row r="41" spans="1:10" ht="36" x14ac:dyDescent="0.25">
      <c r="A41" s="1">
        <v>34</v>
      </c>
      <c r="B41" s="6" t="s">
        <v>208</v>
      </c>
      <c r="C41" s="7" t="s">
        <v>448</v>
      </c>
      <c r="D41" s="56">
        <v>42736</v>
      </c>
      <c r="E41" s="56">
        <v>43008</v>
      </c>
      <c r="F41" s="8">
        <v>91894</v>
      </c>
      <c r="G41" s="8">
        <v>114867.5</v>
      </c>
      <c r="H41" s="56">
        <v>43008</v>
      </c>
      <c r="I41" s="37">
        <v>114867.5</v>
      </c>
      <c r="J41" s="8"/>
    </row>
    <row r="42" spans="1:10" x14ac:dyDescent="0.25">
      <c r="A42" s="1">
        <v>35</v>
      </c>
      <c r="B42" s="6" t="s">
        <v>278</v>
      </c>
      <c r="C42" s="7" t="s">
        <v>449</v>
      </c>
      <c r="D42" s="56">
        <v>42541</v>
      </c>
      <c r="E42" s="56">
        <v>43188</v>
      </c>
      <c r="F42" s="8">
        <v>194533.5</v>
      </c>
      <c r="G42" s="8">
        <v>243166.88</v>
      </c>
      <c r="H42" s="56">
        <v>43100</v>
      </c>
      <c r="I42" s="37">
        <v>223555.1875</v>
      </c>
      <c r="J42" s="8"/>
    </row>
    <row r="43" spans="1:10" ht="24" x14ac:dyDescent="0.25">
      <c r="A43" s="1">
        <v>36</v>
      </c>
      <c r="B43" s="6" t="s">
        <v>209</v>
      </c>
      <c r="C43" s="7" t="s">
        <v>450</v>
      </c>
      <c r="D43" s="56">
        <v>42536</v>
      </c>
      <c r="E43" s="56">
        <v>43188</v>
      </c>
      <c r="F43" s="8">
        <v>54069.9</v>
      </c>
      <c r="G43" s="8">
        <v>67587.38</v>
      </c>
      <c r="H43" s="56">
        <v>43100</v>
      </c>
      <c r="I43" s="37">
        <v>22003.75</v>
      </c>
      <c r="J43" s="8"/>
    </row>
    <row r="44" spans="1:10" ht="24" x14ac:dyDescent="0.25">
      <c r="A44" s="1">
        <v>37</v>
      </c>
      <c r="B44" s="6" t="s">
        <v>193</v>
      </c>
      <c r="C44" s="7" t="s">
        <v>451</v>
      </c>
      <c r="D44" s="56">
        <v>42496</v>
      </c>
      <c r="E44" s="56">
        <v>43188</v>
      </c>
      <c r="F44" s="8">
        <v>200000</v>
      </c>
      <c r="G44" s="8">
        <v>250000</v>
      </c>
      <c r="H44" s="56">
        <v>43100</v>
      </c>
      <c r="I44" s="37">
        <v>156277.23749999999</v>
      </c>
      <c r="J44" s="8"/>
    </row>
    <row r="45" spans="1:10" x14ac:dyDescent="0.25">
      <c r="A45" s="1">
        <v>38</v>
      </c>
      <c r="B45" s="6" t="s">
        <v>210</v>
      </c>
      <c r="C45" s="7" t="s">
        <v>452</v>
      </c>
      <c r="D45" s="56">
        <v>42489</v>
      </c>
      <c r="E45" s="56">
        <v>42854</v>
      </c>
      <c r="F45" s="8">
        <v>125792.5</v>
      </c>
      <c r="G45" s="8">
        <v>157240.63</v>
      </c>
      <c r="H45" s="56">
        <v>42854</v>
      </c>
      <c r="I45" s="37">
        <v>157207.0625</v>
      </c>
      <c r="J45" s="8"/>
    </row>
    <row r="46" spans="1:10" x14ac:dyDescent="0.25">
      <c r="A46" s="1">
        <v>39</v>
      </c>
      <c r="B46" s="6" t="s">
        <v>198</v>
      </c>
      <c r="C46" s="7" t="s">
        <v>453</v>
      </c>
      <c r="D46" s="56">
        <v>42488</v>
      </c>
      <c r="E46" s="56">
        <v>42853</v>
      </c>
      <c r="F46" s="8">
        <v>69384</v>
      </c>
      <c r="G46" s="8">
        <v>86730</v>
      </c>
      <c r="H46" s="56">
        <v>42853</v>
      </c>
      <c r="I46" s="37">
        <v>89913.612500000003</v>
      </c>
      <c r="J46" s="8"/>
    </row>
    <row r="47" spans="1:10" x14ac:dyDescent="0.25">
      <c r="A47" s="1">
        <v>40</v>
      </c>
      <c r="B47" s="6" t="s">
        <v>17</v>
      </c>
      <c r="C47" s="7" t="s">
        <v>454</v>
      </c>
      <c r="D47" s="56">
        <v>42485</v>
      </c>
      <c r="E47" s="56">
        <v>43215</v>
      </c>
      <c r="F47" s="8">
        <v>371194</v>
      </c>
      <c r="G47" s="8">
        <v>463992.5</v>
      </c>
      <c r="H47" s="56">
        <v>43100</v>
      </c>
      <c r="I47" s="37">
        <v>801257.17500000005</v>
      </c>
      <c r="J47" s="8"/>
    </row>
    <row r="48" spans="1:10" ht="24" x14ac:dyDescent="0.25">
      <c r="A48" s="1">
        <v>41</v>
      </c>
      <c r="B48" s="68" t="s">
        <v>197</v>
      </c>
      <c r="C48" s="69" t="s">
        <v>455</v>
      </c>
      <c r="D48" s="56">
        <v>42482</v>
      </c>
      <c r="E48" s="56">
        <v>43208</v>
      </c>
      <c r="F48" s="8">
        <v>108000</v>
      </c>
      <c r="G48" s="8">
        <v>135000</v>
      </c>
      <c r="H48" s="56">
        <v>43100</v>
      </c>
      <c r="I48" s="108">
        <v>126075</v>
      </c>
      <c r="J48" s="17"/>
    </row>
    <row r="49" spans="1:14" ht="24" x14ac:dyDescent="0.25">
      <c r="A49" s="1">
        <v>42</v>
      </c>
      <c r="B49" s="6" t="s">
        <v>196</v>
      </c>
      <c r="C49" s="7" t="s">
        <v>456</v>
      </c>
      <c r="D49" s="56">
        <v>42480</v>
      </c>
      <c r="E49" s="56">
        <v>42845</v>
      </c>
      <c r="F49" s="8">
        <v>36090</v>
      </c>
      <c r="G49" s="8">
        <v>45112.5</v>
      </c>
      <c r="H49" s="56">
        <v>42845</v>
      </c>
      <c r="I49" s="37">
        <v>45470.25</v>
      </c>
      <c r="J49" s="5"/>
    </row>
    <row r="50" spans="1:14" ht="24" x14ac:dyDescent="0.25">
      <c r="A50" s="1">
        <v>43</v>
      </c>
      <c r="B50" s="6" t="s">
        <v>185</v>
      </c>
      <c r="C50" s="7" t="s">
        <v>457</v>
      </c>
      <c r="D50" s="56">
        <v>42478</v>
      </c>
      <c r="E50" s="56">
        <v>43188</v>
      </c>
      <c r="F50" s="8">
        <v>111750</v>
      </c>
      <c r="G50" s="8">
        <v>139687.5</v>
      </c>
      <c r="H50" s="56">
        <v>43100</v>
      </c>
      <c r="I50" s="37">
        <v>89871.837499999994</v>
      </c>
      <c r="J50" s="5"/>
    </row>
    <row r="51" spans="1:14" ht="24" x14ac:dyDescent="0.25">
      <c r="A51" s="1">
        <v>44</v>
      </c>
      <c r="B51" s="6" t="s">
        <v>187</v>
      </c>
      <c r="C51" s="7" t="s">
        <v>458</v>
      </c>
      <c r="D51" s="56">
        <v>42473</v>
      </c>
      <c r="E51" s="56">
        <v>42838</v>
      </c>
      <c r="F51" s="8">
        <v>40723</v>
      </c>
      <c r="G51" s="8">
        <v>50903.75</v>
      </c>
      <c r="H51" s="56">
        <v>42916</v>
      </c>
      <c r="I51" s="37">
        <v>27287.424999999999</v>
      </c>
      <c r="J51" s="5"/>
    </row>
    <row r="52" spans="1:14" ht="24" x14ac:dyDescent="0.25">
      <c r="A52" s="1">
        <v>45</v>
      </c>
      <c r="B52" s="6" t="s">
        <v>186</v>
      </c>
      <c r="C52" s="7" t="s">
        <v>434</v>
      </c>
      <c r="D52" s="56">
        <v>42472</v>
      </c>
      <c r="E52" s="56">
        <v>42838</v>
      </c>
      <c r="F52" s="8">
        <v>53364</v>
      </c>
      <c r="G52" s="8">
        <v>66705</v>
      </c>
      <c r="H52" s="56">
        <v>42916</v>
      </c>
      <c r="I52" s="37">
        <v>64327.875</v>
      </c>
      <c r="J52" s="5"/>
    </row>
    <row r="53" spans="1:14" ht="24" x14ac:dyDescent="0.25">
      <c r="A53" s="1">
        <v>46</v>
      </c>
      <c r="B53" s="6" t="s">
        <v>194</v>
      </c>
      <c r="C53" s="7" t="s">
        <v>459</v>
      </c>
      <c r="D53" s="56">
        <v>42472</v>
      </c>
      <c r="E53" s="56">
        <v>42836</v>
      </c>
      <c r="F53" s="8">
        <v>123277.6</v>
      </c>
      <c r="G53" s="8">
        <v>154097</v>
      </c>
      <c r="H53" s="56">
        <v>42879</v>
      </c>
      <c r="I53" s="37">
        <v>164445</v>
      </c>
      <c r="J53" s="5"/>
    </row>
    <row r="54" spans="1:14" x14ac:dyDescent="0.25">
      <c r="A54" s="1">
        <v>47</v>
      </c>
      <c r="B54" s="6" t="s">
        <v>16</v>
      </c>
      <c r="C54" s="7" t="s">
        <v>460</v>
      </c>
      <c r="D54" s="56">
        <v>42467</v>
      </c>
      <c r="E54" s="56">
        <v>42826</v>
      </c>
      <c r="F54" s="8">
        <v>25900</v>
      </c>
      <c r="G54" s="8">
        <v>32375</v>
      </c>
      <c r="H54" s="56">
        <v>43008</v>
      </c>
      <c r="I54" s="37">
        <v>32082.5</v>
      </c>
      <c r="J54" s="5"/>
    </row>
    <row r="55" spans="1:14" ht="24" x14ac:dyDescent="0.25">
      <c r="A55" s="1">
        <v>48</v>
      </c>
      <c r="B55" s="6" t="s">
        <v>201</v>
      </c>
      <c r="C55" s="7" t="s">
        <v>461</v>
      </c>
      <c r="D55" s="56">
        <v>42458</v>
      </c>
      <c r="E55" s="56">
        <v>42822</v>
      </c>
      <c r="F55" s="8">
        <v>22260</v>
      </c>
      <c r="G55" s="8">
        <v>27825</v>
      </c>
      <c r="H55" s="56">
        <v>42822</v>
      </c>
      <c r="I55" s="37">
        <v>18200.125</v>
      </c>
      <c r="J55" s="5"/>
    </row>
    <row r="56" spans="1:14" x14ac:dyDescent="0.25">
      <c r="A56" s="1">
        <v>49</v>
      </c>
      <c r="B56" s="6" t="s">
        <v>212</v>
      </c>
      <c r="C56" s="7" t="s">
        <v>462</v>
      </c>
      <c r="D56" s="56">
        <v>42458</v>
      </c>
      <c r="E56" s="56">
        <v>43188</v>
      </c>
      <c r="F56" s="8">
        <v>7619.25</v>
      </c>
      <c r="G56" s="8">
        <v>9524.06</v>
      </c>
      <c r="H56" s="56">
        <v>43100</v>
      </c>
      <c r="I56" s="37">
        <v>49455</v>
      </c>
      <c r="J56" s="5"/>
    </row>
    <row r="57" spans="1:14" ht="24" x14ac:dyDescent="0.25">
      <c r="A57" s="1">
        <v>50</v>
      </c>
      <c r="B57" s="6" t="s">
        <v>279</v>
      </c>
      <c r="C57" s="7" t="s">
        <v>463</v>
      </c>
      <c r="D57" s="56">
        <v>42370</v>
      </c>
      <c r="E57" s="56">
        <v>43373</v>
      </c>
      <c r="F57" s="8">
        <v>0</v>
      </c>
      <c r="G57" s="8">
        <v>0</v>
      </c>
      <c r="H57" s="56">
        <v>43100</v>
      </c>
      <c r="I57" s="37">
        <v>3252.75</v>
      </c>
      <c r="J57" s="5"/>
    </row>
    <row r="58" spans="1:14" ht="24" x14ac:dyDescent="0.25">
      <c r="A58" s="1">
        <v>51</v>
      </c>
      <c r="B58" s="6" t="s">
        <v>18</v>
      </c>
      <c r="C58" s="7" t="s">
        <v>464</v>
      </c>
      <c r="D58" s="56">
        <v>42873</v>
      </c>
      <c r="E58" s="56">
        <v>42916</v>
      </c>
      <c r="F58" s="8">
        <v>105596.72</v>
      </c>
      <c r="G58" s="8">
        <v>131995.9</v>
      </c>
      <c r="H58" s="56">
        <v>42916</v>
      </c>
      <c r="I58" s="37">
        <v>131929.9375</v>
      </c>
      <c r="J58" s="5"/>
    </row>
    <row r="59" spans="1:14" ht="7.5" customHeight="1" x14ac:dyDescent="0.25"/>
    <row r="60" spans="1:14" x14ac:dyDescent="0.25">
      <c r="A60" s="175" t="s">
        <v>13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</row>
    <row r="61" spans="1:14" ht="36" x14ac:dyDescent="0.25">
      <c r="A61" s="53" t="s">
        <v>0</v>
      </c>
      <c r="B61" s="54" t="s">
        <v>1</v>
      </c>
      <c r="C61" s="54" t="s">
        <v>3</v>
      </c>
      <c r="D61" s="178" t="s">
        <v>171</v>
      </c>
      <c r="E61" s="178"/>
      <c r="F61" s="54" t="s">
        <v>166</v>
      </c>
      <c r="G61" s="54" t="s">
        <v>170</v>
      </c>
      <c r="H61" s="54" t="s">
        <v>167</v>
      </c>
      <c r="I61" s="54" t="s">
        <v>4</v>
      </c>
      <c r="J61" s="54" t="s">
        <v>5</v>
      </c>
      <c r="K61" s="54" t="s">
        <v>2</v>
      </c>
      <c r="L61" s="54" t="s">
        <v>172</v>
      </c>
      <c r="M61" s="54" t="s">
        <v>173</v>
      </c>
      <c r="N61" s="54" t="s">
        <v>169</v>
      </c>
    </row>
    <row r="62" spans="1:14" x14ac:dyDescent="0.25">
      <c r="A62" s="1">
        <v>1</v>
      </c>
      <c r="B62" s="4" t="s">
        <v>19</v>
      </c>
      <c r="C62" s="1" t="s">
        <v>81</v>
      </c>
      <c r="D62" s="183" t="s">
        <v>1020</v>
      </c>
      <c r="E62" s="184"/>
      <c r="F62" s="38" t="s">
        <v>100</v>
      </c>
      <c r="G62" s="38" t="s">
        <v>1000</v>
      </c>
      <c r="H62" s="1" t="s">
        <v>15</v>
      </c>
      <c r="I62" s="15">
        <v>42488</v>
      </c>
      <c r="J62" s="1" t="s">
        <v>51</v>
      </c>
      <c r="K62" s="5">
        <v>604265</v>
      </c>
      <c r="L62" s="84">
        <f>K62*0.25</f>
        <v>151066.25</v>
      </c>
      <c r="M62" s="84">
        <f>K62+L62</f>
        <v>755331.25</v>
      </c>
      <c r="N62" s="176"/>
    </row>
    <row r="63" spans="1:14" ht="15" customHeight="1" x14ac:dyDescent="0.25">
      <c r="A63" s="177" t="s">
        <v>1012</v>
      </c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97">
        <v>1006091.78</v>
      </c>
      <c r="N63" s="176"/>
    </row>
    <row r="64" spans="1:14" ht="7.5" customHeight="1" x14ac:dyDescent="0.25">
      <c r="L64" s="47"/>
    </row>
    <row r="65" spans="1:13" ht="15" customHeight="1" x14ac:dyDescent="0.25">
      <c r="A65" s="175" t="s">
        <v>12</v>
      </c>
      <c r="B65" s="175"/>
      <c r="C65" s="175"/>
      <c r="D65" s="175"/>
      <c r="E65" s="175"/>
      <c r="F65" s="175"/>
      <c r="G65" s="175"/>
      <c r="H65" s="175"/>
      <c r="I65" s="175"/>
      <c r="J65" s="175"/>
      <c r="K65" s="49"/>
      <c r="L65" s="49"/>
    </row>
    <row r="66" spans="1:13" ht="48" customHeight="1" x14ac:dyDescent="0.25">
      <c r="A66" s="2" t="s">
        <v>0</v>
      </c>
      <c r="B66" s="3" t="s">
        <v>7</v>
      </c>
      <c r="C66" s="3" t="s">
        <v>6</v>
      </c>
      <c r="D66" s="3" t="s">
        <v>8</v>
      </c>
      <c r="E66" s="3" t="s">
        <v>168</v>
      </c>
      <c r="F66" s="3" t="s">
        <v>174</v>
      </c>
      <c r="G66" s="3" t="s">
        <v>175</v>
      </c>
      <c r="H66" s="3" t="s">
        <v>9</v>
      </c>
      <c r="I66" s="3" t="s">
        <v>176</v>
      </c>
      <c r="J66" s="3" t="s">
        <v>10</v>
      </c>
      <c r="K66" s="48"/>
      <c r="L66" s="48"/>
      <c r="M66" s="48"/>
    </row>
    <row r="67" spans="1:13" ht="24" x14ac:dyDescent="0.25">
      <c r="A67" s="1">
        <v>1</v>
      </c>
      <c r="B67" s="60" t="s">
        <v>190</v>
      </c>
      <c r="C67" s="10" t="str">
        <f>"552/2017"</f>
        <v>552/2017</v>
      </c>
      <c r="D67" s="56">
        <v>43063</v>
      </c>
      <c r="E67" s="56">
        <v>43077</v>
      </c>
      <c r="F67" s="8">
        <v>400</v>
      </c>
      <c r="G67" s="8">
        <v>500</v>
      </c>
      <c r="H67" s="56">
        <v>43077</v>
      </c>
      <c r="I67" s="37">
        <v>500</v>
      </c>
      <c r="J67" s="8"/>
    </row>
    <row r="68" spans="1:13" ht="36" x14ac:dyDescent="0.25">
      <c r="A68" s="1">
        <v>2</v>
      </c>
      <c r="B68" s="60" t="s">
        <v>189</v>
      </c>
      <c r="C68" s="10" t="str">
        <f>"732-975"</f>
        <v>732-975</v>
      </c>
      <c r="D68" s="56">
        <v>43027</v>
      </c>
      <c r="E68" s="56">
        <v>43077</v>
      </c>
      <c r="F68" s="8">
        <v>14202</v>
      </c>
      <c r="G68" s="8">
        <v>17752.5</v>
      </c>
      <c r="H68" s="56">
        <v>43100</v>
      </c>
      <c r="I68" s="37">
        <v>11697.5</v>
      </c>
      <c r="J68" s="8"/>
    </row>
    <row r="69" spans="1:13" ht="24" x14ac:dyDescent="0.25">
      <c r="A69" s="1">
        <v>3</v>
      </c>
      <c r="B69" s="60" t="s">
        <v>191</v>
      </c>
      <c r="C69" s="10" t="str">
        <f>"MFIN-NARUDŽBENIC"</f>
        <v>MFIN-NARUDŽBENIC</v>
      </c>
      <c r="D69" s="56">
        <v>43020</v>
      </c>
      <c r="E69" s="56">
        <v>43100</v>
      </c>
      <c r="F69" s="8">
        <v>4024</v>
      </c>
      <c r="G69" s="8">
        <v>5030</v>
      </c>
      <c r="H69" s="56">
        <v>43100</v>
      </c>
      <c r="I69" s="37">
        <v>5030</v>
      </c>
      <c r="J69" s="8"/>
    </row>
    <row r="70" spans="1:13" ht="36" x14ac:dyDescent="0.25">
      <c r="A70" s="1">
        <v>4</v>
      </c>
      <c r="B70" s="60" t="s">
        <v>188</v>
      </c>
      <c r="C70" s="10" t="str">
        <f>"107-2017"</f>
        <v>107-2017</v>
      </c>
      <c r="D70" s="56">
        <v>43017</v>
      </c>
      <c r="E70" s="56">
        <v>43017</v>
      </c>
      <c r="F70" s="8">
        <v>765</v>
      </c>
      <c r="G70" s="8">
        <v>956.25</v>
      </c>
      <c r="H70" s="56">
        <v>43100</v>
      </c>
      <c r="I70" s="37">
        <v>956.25</v>
      </c>
      <c r="J70" s="8"/>
    </row>
    <row r="71" spans="1:13" ht="24" x14ac:dyDescent="0.25">
      <c r="A71" s="1">
        <v>5</v>
      </c>
      <c r="B71" s="60" t="s">
        <v>190</v>
      </c>
      <c r="C71" s="10" t="str">
        <f>"413/2017"</f>
        <v>413/2017</v>
      </c>
      <c r="D71" s="56">
        <v>43011</v>
      </c>
      <c r="E71" s="56">
        <v>43025</v>
      </c>
      <c r="F71" s="8">
        <v>400</v>
      </c>
      <c r="G71" s="8">
        <v>500</v>
      </c>
      <c r="H71" s="56">
        <v>43025</v>
      </c>
      <c r="I71" s="37">
        <v>500</v>
      </c>
      <c r="J71" s="8"/>
    </row>
    <row r="72" spans="1:13" ht="36" x14ac:dyDescent="0.25">
      <c r="A72" s="1">
        <v>6</v>
      </c>
      <c r="B72" s="60" t="s">
        <v>189</v>
      </c>
      <c r="C72" s="10" t="str">
        <f>"584/2017"</f>
        <v>584/2017</v>
      </c>
      <c r="D72" s="56">
        <v>42993</v>
      </c>
      <c r="E72" s="56">
        <v>43084</v>
      </c>
      <c r="F72" s="8">
        <v>5454.5</v>
      </c>
      <c r="G72" s="8">
        <v>6818.13</v>
      </c>
      <c r="H72" s="56">
        <v>43100</v>
      </c>
      <c r="I72" s="37">
        <v>1425</v>
      </c>
      <c r="J72" s="8"/>
    </row>
    <row r="73" spans="1:13" ht="36" x14ac:dyDescent="0.25">
      <c r="A73" s="1">
        <v>7</v>
      </c>
      <c r="B73" s="60" t="s">
        <v>189</v>
      </c>
      <c r="C73" s="10" t="str">
        <f>"512/2017"</f>
        <v>512/2017</v>
      </c>
      <c r="D73" s="56">
        <v>42958</v>
      </c>
      <c r="E73" s="56">
        <v>43050</v>
      </c>
      <c r="F73" s="8">
        <v>4844</v>
      </c>
      <c r="G73" s="8">
        <v>6055</v>
      </c>
      <c r="H73" s="56">
        <v>43050</v>
      </c>
      <c r="I73" s="37">
        <v>4630</v>
      </c>
      <c r="J73" s="8"/>
    </row>
    <row r="74" spans="1:13" ht="36" x14ac:dyDescent="0.25">
      <c r="A74" s="1">
        <v>8</v>
      </c>
      <c r="B74" s="60" t="s">
        <v>191</v>
      </c>
      <c r="C74" s="10" t="str">
        <f>"MFIN-NARUDŽ.17362,17426"</f>
        <v>MFIN-NARUDŽ.17362,17426</v>
      </c>
      <c r="D74" s="56">
        <v>42944</v>
      </c>
      <c r="E74" s="56">
        <v>42996</v>
      </c>
      <c r="F74" s="8">
        <v>11772</v>
      </c>
      <c r="G74" s="8">
        <v>14715</v>
      </c>
      <c r="H74" s="56">
        <v>43008</v>
      </c>
      <c r="I74" s="37">
        <v>14715</v>
      </c>
      <c r="J74" s="8"/>
    </row>
    <row r="75" spans="1:13" ht="36" x14ac:dyDescent="0.25">
      <c r="A75" s="1">
        <v>9</v>
      </c>
      <c r="B75" s="60" t="s">
        <v>189</v>
      </c>
      <c r="C75" s="10" t="str">
        <f>"468/2017"</f>
        <v>468/2017</v>
      </c>
      <c r="D75" s="56">
        <v>42933</v>
      </c>
      <c r="E75" s="56">
        <v>42964</v>
      </c>
      <c r="F75" s="8">
        <v>1800</v>
      </c>
      <c r="G75" s="8">
        <v>2250</v>
      </c>
      <c r="H75" s="56">
        <v>43008</v>
      </c>
      <c r="I75" s="37">
        <v>2250</v>
      </c>
      <c r="J75" s="8"/>
    </row>
    <row r="76" spans="1:13" ht="24" x14ac:dyDescent="0.25">
      <c r="A76" s="1">
        <v>10</v>
      </c>
      <c r="B76" s="60" t="s">
        <v>203</v>
      </c>
      <c r="C76" s="10" t="str">
        <f>"NARUDŽBENICA 668/2017."</f>
        <v>NARUDŽBENICA 668/2017.</v>
      </c>
      <c r="D76" s="56">
        <v>42928</v>
      </c>
      <c r="E76" s="56">
        <v>42928</v>
      </c>
      <c r="F76" s="8">
        <v>1699.2</v>
      </c>
      <c r="G76" s="8">
        <v>2124</v>
      </c>
      <c r="H76" s="56">
        <v>43008</v>
      </c>
      <c r="I76" s="37">
        <v>2124</v>
      </c>
      <c r="J76" s="8"/>
    </row>
    <row r="77" spans="1:13" ht="36" x14ac:dyDescent="0.25">
      <c r="A77" s="1">
        <v>11</v>
      </c>
      <c r="B77" s="60" t="s">
        <v>189</v>
      </c>
      <c r="C77" s="10" t="str">
        <f>"405/2017"</f>
        <v>405/2017</v>
      </c>
      <c r="D77" s="56">
        <v>42906</v>
      </c>
      <c r="E77" s="56">
        <v>42936</v>
      </c>
      <c r="F77" s="8">
        <v>4218</v>
      </c>
      <c r="G77" s="8">
        <v>5272.5</v>
      </c>
      <c r="H77" s="56">
        <v>43008</v>
      </c>
      <c r="I77" s="37">
        <v>5272.5</v>
      </c>
      <c r="J77" s="8"/>
    </row>
    <row r="78" spans="1:13" x14ac:dyDescent="0.25">
      <c r="A78" s="1">
        <v>12</v>
      </c>
      <c r="B78" s="60" t="s">
        <v>198</v>
      </c>
      <c r="C78" s="10" t="str">
        <f>"P/15075035"</f>
        <v>P/15075035</v>
      </c>
      <c r="D78" s="56">
        <v>42873</v>
      </c>
      <c r="E78" s="56">
        <v>43218</v>
      </c>
      <c r="F78" s="8">
        <v>93944</v>
      </c>
      <c r="G78" s="8">
        <v>117430</v>
      </c>
      <c r="H78" s="56">
        <v>43100</v>
      </c>
      <c r="I78" s="37">
        <v>47828</v>
      </c>
      <c r="J78" s="8"/>
    </row>
    <row r="79" spans="1:13" ht="36" x14ac:dyDescent="0.25">
      <c r="A79" s="1">
        <v>13</v>
      </c>
      <c r="B79" s="60" t="s">
        <v>189</v>
      </c>
      <c r="C79" s="10" t="str">
        <f>"347/2017"</f>
        <v>347/2017</v>
      </c>
      <c r="D79" s="56">
        <v>42885</v>
      </c>
      <c r="E79" s="56">
        <v>42916</v>
      </c>
      <c r="F79" s="8">
        <v>2064</v>
      </c>
      <c r="G79" s="8">
        <v>2580</v>
      </c>
      <c r="H79" s="56">
        <v>43008</v>
      </c>
      <c r="I79" s="37">
        <v>2580</v>
      </c>
      <c r="J79" s="8"/>
    </row>
    <row r="80" spans="1:13" ht="36" x14ac:dyDescent="0.25">
      <c r="A80" s="1">
        <v>14</v>
      </c>
      <c r="B80" s="60" t="s">
        <v>188</v>
      </c>
      <c r="C80" s="10" t="str">
        <f>"45-17"</f>
        <v>45-17</v>
      </c>
      <c r="D80" s="56">
        <v>42871</v>
      </c>
      <c r="E80" s="56">
        <v>42871</v>
      </c>
      <c r="F80" s="8">
        <v>810</v>
      </c>
      <c r="G80" s="8">
        <v>1012.5</v>
      </c>
      <c r="H80" s="56">
        <v>42916</v>
      </c>
      <c r="I80" s="37">
        <v>1012.5</v>
      </c>
      <c r="J80" s="8"/>
    </row>
    <row r="81" spans="1:10" ht="36" x14ac:dyDescent="0.25">
      <c r="A81" s="1">
        <v>15</v>
      </c>
      <c r="B81" s="60" t="s">
        <v>189</v>
      </c>
      <c r="C81" s="10" t="str">
        <f>"303/2017"</f>
        <v>303/2017</v>
      </c>
      <c r="D81" s="56">
        <v>42867</v>
      </c>
      <c r="E81" s="56">
        <v>42898</v>
      </c>
      <c r="F81" s="8">
        <v>3348</v>
      </c>
      <c r="G81" s="8">
        <v>4185</v>
      </c>
      <c r="H81" s="56">
        <v>43008</v>
      </c>
      <c r="I81" s="37">
        <v>4185</v>
      </c>
      <c r="J81" s="8"/>
    </row>
    <row r="82" spans="1:10" ht="24" x14ac:dyDescent="0.25">
      <c r="A82" s="1">
        <v>16</v>
      </c>
      <c r="B82" s="60" t="s">
        <v>203</v>
      </c>
      <c r="C82" s="10" t="str">
        <f>"N-452/2017."</f>
        <v>N-452/2017.</v>
      </c>
      <c r="D82" s="56">
        <v>42866</v>
      </c>
      <c r="E82" s="56">
        <v>42866</v>
      </c>
      <c r="F82" s="8">
        <v>40</v>
      </c>
      <c r="G82" s="8">
        <v>50</v>
      </c>
      <c r="H82" s="56">
        <v>42916</v>
      </c>
      <c r="I82" s="37">
        <v>50</v>
      </c>
      <c r="J82" s="8"/>
    </row>
    <row r="83" spans="1:10" ht="24" x14ac:dyDescent="0.25">
      <c r="A83" s="1">
        <v>17</v>
      </c>
      <c r="B83" s="60" t="s">
        <v>190</v>
      </c>
      <c r="C83" s="10" t="str">
        <f>"153/2017/R"</f>
        <v>153/2017/R</v>
      </c>
      <c r="D83" s="56">
        <v>42844</v>
      </c>
      <c r="E83" s="56">
        <v>42858</v>
      </c>
      <c r="F83" s="8">
        <v>400</v>
      </c>
      <c r="G83" s="8">
        <v>500</v>
      </c>
      <c r="H83" s="56">
        <v>42858</v>
      </c>
      <c r="I83" s="37">
        <v>500</v>
      </c>
      <c r="J83" s="8"/>
    </row>
    <row r="84" spans="1:10" ht="24" x14ac:dyDescent="0.25">
      <c r="A84" s="1">
        <v>18</v>
      </c>
      <c r="B84" s="60" t="s">
        <v>191</v>
      </c>
      <c r="C84" s="10" t="str">
        <f>"MFIN-UŽI DIO NAR.II KVARTA"</f>
        <v>MFIN-UŽI DIO NAR.II KVARTA</v>
      </c>
      <c r="D84" s="56">
        <v>42826</v>
      </c>
      <c r="E84" s="56">
        <v>42916</v>
      </c>
      <c r="F84" s="8">
        <v>25112.400000000001</v>
      </c>
      <c r="G84" s="8">
        <v>31390.5</v>
      </c>
      <c r="H84" s="56">
        <v>42916</v>
      </c>
      <c r="I84" s="37">
        <v>31390.5</v>
      </c>
      <c r="J84" s="8"/>
    </row>
    <row r="85" spans="1:10" ht="36" x14ac:dyDescent="0.25">
      <c r="A85" s="1">
        <v>19</v>
      </c>
      <c r="B85" s="60" t="s">
        <v>189</v>
      </c>
      <c r="C85" s="10" t="str">
        <f>"162/2017"</f>
        <v>162/2017</v>
      </c>
      <c r="D85" s="56">
        <v>42810</v>
      </c>
      <c r="E85" s="56">
        <v>42871</v>
      </c>
      <c r="F85" s="8">
        <v>6036</v>
      </c>
      <c r="G85" s="8">
        <v>7545</v>
      </c>
      <c r="H85" s="56">
        <v>42916</v>
      </c>
      <c r="I85" s="37">
        <v>7545</v>
      </c>
      <c r="J85" s="8"/>
    </row>
    <row r="86" spans="1:10" ht="36" x14ac:dyDescent="0.25">
      <c r="A86" s="1">
        <v>20</v>
      </c>
      <c r="B86" s="60" t="s">
        <v>189</v>
      </c>
      <c r="C86" s="10" t="str">
        <f>"108/2017"</f>
        <v>108/2017</v>
      </c>
      <c r="D86" s="56">
        <v>42787</v>
      </c>
      <c r="E86" s="56">
        <v>42846</v>
      </c>
      <c r="F86" s="8">
        <v>5376</v>
      </c>
      <c r="G86" s="8">
        <v>6720</v>
      </c>
      <c r="H86" s="56">
        <v>42846</v>
      </c>
      <c r="I86" s="37">
        <v>5947</v>
      </c>
      <c r="J86" s="8"/>
    </row>
    <row r="87" spans="1:10" ht="36" x14ac:dyDescent="0.25">
      <c r="A87" s="1">
        <v>21</v>
      </c>
      <c r="B87" s="60" t="s">
        <v>97</v>
      </c>
      <c r="C87" s="10" t="str">
        <f>"030-01/17-01/12"</f>
        <v>030-01/17-01/12</v>
      </c>
      <c r="D87" s="56">
        <v>42776</v>
      </c>
      <c r="E87" s="56">
        <v>43100</v>
      </c>
      <c r="F87" s="8">
        <v>59568</v>
      </c>
      <c r="G87" s="8">
        <v>74460</v>
      </c>
      <c r="H87" s="56">
        <v>43038</v>
      </c>
      <c r="I87" s="37">
        <v>36276.25</v>
      </c>
      <c r="J87" s="8"/>
    </row>
    <row r="88" spans="1:10" ht="24" x14ac:dyDescent="0.25">
      <c r="A88" s="1">
        <v>22</v>
      </c>
      <c r="B88" s="60" t="s">
        <v>190</v>
      </c>
      <c r="C88" s="10" t="str">
        <f>"39/2017/R"</f>
        <v>39/2017/R</v>
      </c>
      <c r="D88" s="56">
        <v>42773</v>
      </c>
      <c r="E88" s="56">
        <v>42787</v>
      </c>
      <c r="F88" s="8">
        <v>240</v>
      </c>
      <c r="G88" s="8">
        <v>300</v>
      </c>
      <c r="H88" s="56">
        <v>42825</v>
      </c>
      <c r="I88" s="37">
        <v>300</v>
      </c>
      <c r="J88" s="8"/>
    </row>
    <row r="89" spans="1:10" ht="24" x14ac:dyDescent="0.25">
      <c r="A89" s="1">
        <v>23</v>
      </c>
      <c r="B89" s="60" t="s">
        <v>191</v>
      </c>
      <c r="C89" s="10" t="str">
        <f>"NARUDDŽ.-MFIN"</f>
        <v>NARUDDŽ.-MFIN</v>
      </c>
      <c r="D89" s="56">
        <v>42765</v>
      </c>
      <c r="E89" s="56">
        <v>42825</v>
      </c>
      <c r="F89" s="8">
        <v>14596.8</v>
      </c>
      <c r="G89" s="8">
        <v>18246</v>
      </c>
      <c r="H89" s="56">
        <v>42825</v>
      </c>
      <c r="I89" s="37">
        <v>18246</v>
      </c>
      <c r="J89" s="8"/>
    </row>
    <row r="90" spans="1:10" ht="36" x14ac:dyDescent="0.25">
      <c r="A90" s="1">
        <v>24</v>
      </c>
      <c r="B90" s="60" t="s">
        <v>188</v>
      </c>
      <c r="C90" s="10" t="str">
        <f>"03-2017"</f>
        <v>03-2017</v>
      </c>
      <c r="D90" s="56">
        <v>42753</v>
      </c>
      <c r="E90" s="56">
        <v>42753</v>
      </c>
      <c r="F90" s="8">
        <v>198</v>
      </c>
      <c r="G90" s="8">
        <v>247.5</v>
      </c>
      <c r="H90" s="56">
        <v>42825</v>
      </c>
      <c r="I90" s="37">
        <v>247.5</v>
      </c>
      <c r="J90" s="8"/>
    </row>
    <row r="91" spans="1:10" ht="36" x14ac:dyDescent="0.25">
      <c r="A91" s="1">
        <v>25</v>
      </c>
      <c r="B91" s="60" t="s">
        <v>208</v>
      </c>
      <c r="C91" s="10" t="str">
        <f>"NAR 2017 - POTROŠNI 2"</f>
        <v>NAR 2017 - POTROŠNI 2</v>
      </c>
      <c r="D91" s="56">
        <v>42736</v>
      </c>
      <c r="E91" s="56">
        <v>43008</v>
      </c>
      <c r="F91" s="8">
        <v>24824</v>
      </c>
      <c r="G91" s="8">
        <v>31030</v>
      </c>
      <c r="H91" s="56">
        <v>43008</v>
      </c>
      <c r="I91" s="37">
        <v>31030</v>
      </c>
      <c r="J91" s="8"/>
    </row>
    <row r="92" spans="1:10" ht="24" x14ac:dyDescent="0.25">
      <c r="A92" s="1">
        <v>26</v>
      </c>
      <c r="B92" s="60" t="s">
        <v>201</v>
      </c>
      <c r="C92" s="10" t="str">
        <f>"13/2015-2/2016"</f>
        <v>13/2015-2/2016</v>
      </c>
      <c r="D92" s="56">
        <v>42699</v>
      </c>
      <c r="E92" s="56">
        <v>43063</v>
      </c>
      <c r="F92" s="8">
        <v>46744</v>
      </c>
      <c r="G92" s="8">
        <v>58430</v>
      </c>
      <c r="H92" s="56">
        <v>43063</v>
      </c>
      <c r="I92" s="37">
        <v>32795.25</v>
      </c>
      <c r="J92" s="8"/>
    </row>
    <row r="93" spans="1:10" ht="36" x14ac:dyDescent="0.25">
      <c r="A93" s="1">
        <v>27</v>
      </c>
      <c r="B93" s="60" t="s">
        <v>189</v>
      </c>
      <c r="C93" s="10" t="str">
        <f>"309/2016"</f>
        <v>309/2016</v>
      </c>
      <c r="D93" s="56">
        <v>42537</v>
      </c>
      <c r="E93" s="56">
        <v>42902</v>
      </c>
      <c r="F93" s="8">
        <v>20900</v>
      </c>
      <c r="G93" s="8">
        <v>26125</v>
      </c>
      <c r="H93" s="56">
        <v>42902</v>
      </c>
      <c r="I93" s="37">
        <v>26098</v>
      </c>
      <c r="J93" s="8"/>
    </row>
    <row r="94" spans="1:10" x14ac:dyDescent="0.25">
      <c r="A94" s="1">
        <v>28</v>
      </c>
      <c r="B94" s="60" t="s">
        <v>210</v>
      </c>
      <c r="C94" s="10" t="str">
        <f>"PU - GRUPA 2"</f>
        <v>PU - GRUPA 2</v>
      </c>
      <c r="D94" s="56">
        <v>42534</v>
      </c>
      <c r="E94" s="56">
        <v>42899</v>
      </c>
      <c r="F94" s="8">
        <v>522182</v>
      </c>
      <c r="G94" s="8">
        <v>652727.5</v>
      </c>
      <c r="H94" s="56">
        <v>42899</v>
      </c>
      <c r="I94" s="37">
        <v>442650.01250000001</v>
      </c>
      <c r="J94" s="8"/>
    </row>
    <row r="95" spans="1:10" x14ac:dyDescent="0.25">
      <c r="A95" s="1">
        <v>29</v>
      </c>
      <c r="B95" s="60" t="s">
        <v>17</v>
      </c>
      <c r="C95" s="10" t="str">
        <f>"1-DUSJN/16-2"</f>
        <v>1-DUSJN/16-2</v>
      </c>
      <c r="D95" s="56">
        <v>42530</v>
      </c>
      <c r="E95" s="56">
        <v>43260</v>
      </c>
      <c r="F95" s="8">
        <v>74000</v>
      </c>
      <c r="G95" s="8">
        <v>92500</v>
      </c>
      <c r="H95" s="56">
        <v>43100</v>
      </c>
      <c r="I95" s="37">
        <v>143956.51250000001</v>
      </c>
      <c r="J95" s="8"/>
    </row>
    <row r="96" spans="1:10" x14ac:dyDescent="0.25">
      <c r="A96" s="1">
        <v>30</v>
      </c>
      <c r="B96" s="60" t="s">
        <v>198</v>
      </c>
      <c r="C96" s="10" t="str">
        <f>"P/14180821"</f>
        <v>P/14180821</v>
      </c>
      <c r="D96" s="56">
        <v>42524</v>
      </c>
      <c r="E96" s="56">
        <v>42889</v>
      </c>
      <c r="F96" s="8">
        <v>62728</v>
      </c>
      <c r="G96" s="8">
        <v>78410</v>
      </c>
      <c r="H96" s="56">
        <v>42889</v>
      </c>
      <c r="I96" s="37">
        <v>124354</v>
      </c>
      <c r="J96" s="8"/>
    </row>
    <row r="97" spans="1:14" ht="7.5" customHeight="1" x14ac:dyDescent="0.25"/>
    <row r="98" spans="1:14" x14ac:dyDescent="0.25">
      <c r="A98" s="175" t="s">
        <v>13</v>
      </c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</row>
    <row r="99" spans="1:14" ht="36" x14ac:dyDescent="0.25">
      <c r="A99" s="53" t="s">
        <v>0</v>
      </c>
      <c r="B99" s="54" t="s">
        <v>1</v>
      </c>
      <c r="C99" s="54" t="s">
        <v>3</v>
      </c>
      <c r="D99" s="178" t="s">
        <v>171</v>
      </c>
      <c r="E99" s="178"/>
      <c r="F99" s="54" t="s">
        <v>166</v>
      </c>
      <c r="G99" s="54" t="s">
        <v>170</v>
      </c>
      <c r="H99" s="54" t="s">
        <v>167</v>
      </c>
      <c r="I99" s="54" t="s">
        <v>4</v>
      </c>
      <c r="J99" s="54" t="s">
        <v>5</v>
      </c>
      <c r="K99" s="54" t="s">
        <v>2</v>
      </c>
      <c r="L99" s="54" t="s">
        <v>172</v>
      </c>
      <c r="M99" s="54" t="s">
        <v>173</v>
      </c>
      <c r="N99" s="54" t="s">
        <v>169</v>
      </c>
    </row>
    <row r="100" spans="1:14" ht="37.5" customHeight="1" x14ac:dyDescent="0.25">
      <c r="A100" s="1">
        <v>1</v>
      </c>
      <c r="B100" s="4" t="s">
        <v>20</v>
      </c>
      <c r="C100" s="1" t="s">
        <v>82</v>
      </c>
      <c r="D100" s="181" t="s">
        <v>1021</v>
      </c>
      <c r="E100" s="182"/>
      <c r="F100" s="38" t="s">
        <v>100</v>
      </c>
      <c r="G100" s="38" t="s">
        <v>1000</v>
      </c>
      <c r="H100" s="1" t="s">
        <v>15</v>
      </c>
      <c r="I100" s="15">
        <v>42534</v>
      </c>
      <c r="J100" s="1" t="s">
        <v>51</v>
      </c>
      <c r="K100" s="5">
        <v>5985466.5</v>
      </c>
      <c r="L100" s="84">
        <f>K100*0.25</f>
        <v>1496366.625</v>
      </c>
      <c r="M100" s="84">
        <f>K100+L100</f>
        <v>7481833.125</v>
      </c>
      <c r="N100" s="176"/>
    </row>
    <row r="101" spans="1:14" ht="15" customHeight="1" x14ac:dyDescent="0.25">
      <c r="A101" s="177" t="s">
        <v>1012</v>
      </c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97">
        <v>3401693.09</v>
      </c>
      <c r="N101" s="176"/>
    </row>
    <row r="102" spans="1:14" ht="7.5" customHeight="1" x14ac:dyDescent="0.25">
      <c r="L102" s="47"/>
    </row>
    <row r="103" spans="1:14" ht="15" customHeight="1" x14ac:dyDescent="0.25">
      <c r="A103" s="175" t="s">
        <v>12</v>
      </c>
      <c r="B103" s="175"/>
      <c r="C103" s="175"/>
      <c r="D103" s="175"/>
      <c r="E103" s="175"/>
      <c r="F103" s="175"/>
      <c r="G103" s="175"/>
      <c r="H103" s="175"/>
      <c r="I103" s="175"/>
      <c r="J103" s="175"/>
      <c r="K103" s="49"/>
      <c r="L103" s="49"/>
    </row>
    <row r="104" spans="1:14" ht="48" customHeight="1" x14ac:dyDescent="0.25">
      <c r="A104" s="2" t="s">
        <v>0</v>
      </c>
      <c r="B104" s="3" t="s">
        <v>7</v>
      </c>
      <c r="C104" s="3" t="s">
        <v>6</v>
      </c>
      <c r="D104" s="3" t="s">
        <v>8</v>
      </c>
      <c r="E104" s="3" t="s">
        <v>168</v>
      </c>
      <c r="F104" s="3" t="s">
        <v>174</v>
      </c>
      <c r="G104" s="3" t="s">
        <v>175</v>
      </c>
      <c r="H104" s="3" t="s">
        <v>9</v>
      </c>
      <c r="I104" s="3" t="s">
        <v>176</v>
      </c>
      <c r="J104" s="3" t="s">
        <v>10</v>
      </c>
      <c r="K104" s="48"/>
      <c r="L104" s="48"/>
      <c r="M104" s="48"/>
    </row>
    <row r="105" spans="1:14" ht="24" x14ac:dyDescent="0.25">
      <c r="A105" s="1">
        <v>1</v>
      </c>
      <c r="B105" s="60" t="s">
        <v>200</v>
      </c>
      <c r="C105" s="10" t="str">
        <f>"4500014454"</f>
        <v>4500014454</v>
      </c>
      <c r="D105" s="56">
        <v>43088</v>
      </c>
      <c r="E105" s="56">
        <v>43091</v>
      </c>
      <c r="F105" s="8">
        <v>4752</v>
      </c>
      <c r="G105" s="8">
        <v>5940</v>
      </c>
      <c r="H105" s="56">
        <v>43100</v>
      </c>
      <c r="I105" s="37">
        <v>5940</v>
      </c>
      <c r="J105" s="8"/>
    </row>
    <row r="106" spans="1:14" ht="36" x14ac:dyDescent="0.25">
      <c r="A106" s="1">
        <v>2</v>
      </c>
      <c r="B106" s="60" t="s">
        <v>189</v>
      </c>
      <c r="C106" s="10" t="str">
        <f>"956/2017"</f>
        <v>956/2017</v>
      </c>
      <c r="D106" s="56">
        <v>43074</v>
      </c>
      <c r="E106" s="56">
        <v>43105</v>
      </c>
      <c r="F106" s="8">
        <v>65.849999999999994</v>
      </c>
      <c r="G106" s="8">
        <v>82.31</v>
      </c>
      <c r="H106" s="56">
        <v>43100</v>
      </c>
      <c r="I106" s="37">
        <v>0</v>
      </c>
      <c r="J106" s="8"/>
    </row>
    <row r="107" spans="1:14" ht="24" x14ac:dyDescent="0.25">
      <c r="A107" s="1">
        <v>3</v>
      </c>
      <c r="B107" s="60" t="s">
        <v>191</v>
      </c>
      <c r="C107" s="10" t="str">
        <f>"MFIN-NARUDŽB"</f>
        <v>MFIN-NARUDŽB</v>
      </c>
      <c r="D107" s="56">
        <v>43046</v>
      </c>
      <c r="E107" s="56">
        <v>43075</v>
      </c>
      <c r="F107" s="8">
        <v>4061.98</v>
      </c>
      <c r="G107" s="8">
        <v>5077.4799999999996</v>
      </c>
      <c r="H107" s="56">
        <v>43075</v>
      </c>
      <c r="I107" s="37">
        <v>5077.4750000000004</v>
      </c>
      <c r="J107" s="8"/>
    </row>
    <row r="108" spans="1:14" ht="24" x14ac:dyDescent="0.25">
      <c r="A108" s="1">
        <v>4</v>
      </c>
      <c r="B108" s="60" t="s">
        <v>18</v>
      </c>
      <c r="C108" s="10" t="str">
        <f>"SNUG-202-17-063-3"</f>
        <v>SNUG-202-17-063-3</v>
      </c>
      <c r="D108" s="56">
        <v>43034</v>
      </c>
      <c r="E108" s="56">
        <v>43100</v>
      </c>
      <c r="F108" s="8">
        <v>207424.47</v>
      </c>
      <c r="G108" s="8">
        <v>259280.59</v>
      </c>
      <c r="H108" s="56">
        <v>43100</v>
      </c>
      <c r="I108" s="37">
        <v>259280.58749999999</v>
      </c>
      <c r="J108" s="8"/>
    </row>
    <row r="109" spans="1:14" ht="36" x14ac:dyDescent="0.25">
      <c r="A109" s="1">
        <v>5</v>
      </c>
      <c r="B109" s="60" t="s">
        <v>188</v>
      </c>
      <c r="C109" s="10" t="str">
        <f>"149-2017"</f>
        <v>149-2017</v>
      </c>
      <c r="D109" s="56">
        <v>43017</v>
      </c>
      <c r="E109" s="56">
        <v>43076</v>
      </c>
      <c r="F109" s="8">
        <v>335.1</v>
      </c>
      <c r="G109" s="8">
        <v>418.88</v>
      </c>
      <c r="H109" s="56">
        <v>43100</v>
      </c>
      <c r="I109" s="37">
        <v>418.875</v>
      </c>
      <c r="J109" s="8"/>
    </row>
    <row r="110" spans="1:14" ht="36" x14ac:dyDescent="0.25">
      <c r="A110" s="1">
        <v>6</v>
      </c>
      <c r="B110" s="60" t="s">
        <v>189</v>
      </c>
      <c r="C110" s="10" t="str">
        <f>"678/2017"</f>
        <v>678/2017</v>
      </c>
      <c r="D110" s="56">
        <v>43014</v>
      </c>
      <c r="E110" s="56">
        <v>43045</v>
      </c>
      <c r="F110" s="8">
        <v>73.5</v>
      </c>
      <c r="G110" s="8">
        <v>91.88</v>
      </c>
      <c r="H110" s="56">
        <v>43100</v>
      </c>
      <c r="I110" s="37">
        <v>91.875</v>
      </c>
      <c r="J110" s="8"/>
    </row>
    <row r="111" spans="1:14" ht="24" x14ac:dyDescent="0.25">
      <c r="A111" s="1">
        <v>7</v>
      </c>
      <c r="B111" s="60" t="s">
        <v>196</v>
      </c>
      <c r="C111" s="10" t="str">
        <f>"NAR 13/2015-3_2"</f>
        <v>NAR 13/2015-3_2</v>
      </c>
      <c r="D111" s="56">
        <v>43004</v>
      </c>
      <c r="E111" s="56">
        <v>43264</v>
      </c>
      <c r="F111" s="8">
        <v>4606.5</v>
      </c>
      <c r="G111" s="8">
        <v>5758.13</v>
      </c>
      <c r="H111" s="56">
        <v>43100</v>
      </c>
      <c r="I111" s="37">
        <v>1058.4375</v>
      </c>
      <c r="J111" s="8"/>
    </row>
    <row r="112" spans="1:14" ht="24" x14ac:dyDescent="0.25">
      <c r="A112" s="1">
        <v>8</v>
      </c>
      <c r="B112" s="60" t="s">
        <v>203</v>
      </c>
      <c r="C112" s="10" t="str">
        <f>"NARUDŽBENICE PM3 2017."</f>
        <v>NARUDŽBENICE PM3 2017.</v>
      </c>
      <c r="D112" s="56">
        <v>42990</v>
      </c>
      <c r="E112" s="56">
        <v>43003</v>
      </c>
      <c r="F112" s="8">
        <v>116.95</v>
      </c>
      <c r="G112" s="8">
        <v>146.19</v>
      </c>
      <c r="H112" s="56">
        <v>43008</v>
      </c>
      <c r="I112" s="37">
        <v>146.1875</v>
      </c>
      <c r="J112" s="8"/>
    </row>
    <row r="113" spans="1:11" ht="36" x14ac:dyDescent="0.25">
      <c r="A113" s="1">
        <v>9</v>
      </c>
      <c r="B113" s="60" t="s">
        <v>97</v>
      </c>
      <c r="C113" s="10" t="str">
        <f>"519-02-3-1/6-17-11"</f>
        <v>519-02-3-1/6-17-11</v>
      </c>
      <c r="D113" s="56">
        <v>42972</v>
      </c>
      <c r="E113" s="56">
        <v>42979</v>
      </c>
      <c r="F113" s="8">
        <v>55.61</v>
      </c>
      <c r="G113" s="8">
        <v>69.510000000000005</v>
      </c>
      <c r="H113" s="56">
        <v>42978</v>
      </c>
      <c r="I113" s="37">
        <v>69.512500000000003</v>
      </c>
      <c r="J113" s="8"/>
    </row>
    <row r="114" spans="1:11" ht="24" x14ac:dyDescent="0.25">
      <c r="A114" s="1">
        <v>10</v>
      </c>
      <c r="B114" s="60" t="s">
        <v>194</v>
      </c>
      <c r="C114" s="10" t="str">
        <f>"36/17"</f>
        <v>36/17</v>
      </c>
      <c r="D114" s="56">
        <v>42934</v>
      </c>
      <c r="E114" s="56">
        <v>43263</v>
      </c>
      <c r="F114" s="8">
        <v>31997.119999999999</v>
      </c>
      <c r="G114" s="8">
        <v>39996.400000000001</v>
      </c>
      <c r="H114" s="56">
        <v>43100</v>
      </c>
      <c r="I114" s="37">
        <v>12517.375</v>
      </c>
      <c r="J114" s="8"/>
    </row>
    <row r="115" spans="1:11" ht="36" x14ac:dyDescent="0.25">
      <c r="A115" s="1">
        <v>11</v>
      </c>
      <c r="B115" s="60" t="s">
        <v>191</v>
      </c>
      <c r="C115" s="10" t="str">
        <f>"MFIN-UŽI DIO..NAR.17347.,17381"</f>
        <v>MFIN-UŽI DIO..NAR.17347.,17381</v>
      </c>
      <c r="D115" s="56">
        <v>42935</v>
      </c>
      <c r="E115" s="56">
        <v>42970</v>
      </c>
      <c r="F115" s="8">
        <v>7909.35</v>
      </c>
      <c r="G115" s="8">
        <v>9886.69</v>
      </c>
      <c r="H115" s="56">
        <v>43008</v>
      </c>
      <c r="I115" s="37">
        <v>9886.6875</v>
      </c>
      <c r="J115" s="8"/>
    </row>
    <row r="116" spans="1:11" x14ac:dyDescent="0.25">
      <c r="A116" s="1">
        <v>12</v>
      </c>
      <c r="B116" s="60" t="s">
        <v>198</v>
      </c>
      <c r="C116" s="10" t="str">
        <f>"P/15174128"</f>
        <v>P/15174128</v>
      </c>
      <c r="D116" s="56">
        <v>42948</v>
      </c>
      <c r="E116" s="56">
        <v>43298</v>
      </c>
      <c r="F116" s="8">
        <v>44106.400000000001</v>
      </c>
      <c r="G116" s="8">
        <v>55133</v>
      </c>
      <c r="H116" s="56">
        <v>43100</v>
      </c>
      <c r="I116" s="37">
        <v>19266.662499999999</v>
      </c>
      <c r="J116" s="8"/>
    </row>
    <row r="117" spans="1:11" ht="24" x14ac:dyDescent="0.25">
      <c r="A117" s="1">
        <v>13</v>
      </c>
      <c r="B117" s="60" t="s">
        <v>18</v>
      </c>
      <c r="C117" s="10" t="str">
        <f>"SNUG-202-17-037-3"</f>
        <v>SNUG-202-17-037-3</v>
      </c>
      <c r="D117" s="56">
        <v>42922</v>
      </c>
      <c r="E117" s="56">
        <v>43008</v>
      </c>
      <c r="F117" s="8">
        <v>171143.75</v>
      </c>
      <c r="G117" s="8">
        <v>213929.69</v>
      </c>
      <c r="H117" s="56">
        <v>43008</v>
      </c>
      <c r="I117" s="37">
        <v>213929.6875</v>
      </c>
      <c r="J117" s="8"/>
    </row>
    <row r="118" spans="1:11" ht="24" x14ac:dyDescent="0.25">
      <c r="A118" s="1">
        <v>14</v>
      </c>
      <c r="B118" s="60" t="s">
        <v>186</v>
      </c>
      <c r="C118" s="10" t="str">
        <f>"406-01/16-01/0118"</f>
        <v>406-01/16-01/0118</v>
      </c>
      <c r="D118" s="56">
        <v>42920</v>
      </c>
      <c r="E118" s="56">
        <v>43285</v>
      </c>
      <c r="F118" s="8">
        <v>19298.060000000001</v>
      </c>
      <c r="G118" s="8">
        <v>24122.58</v>
      </c>
      <c r="H118" s="56">
        <v>43008</v>
      </c>
      <c r="I118" s="37">
        <v>6082.625</v>
      </c>
      <c r="J118" s="8"/>
    </row>
    <row r="119" spans="1:11" ht="24" x14ac:dyDescent="0.25">
      <c r="A119" s="1">
        <v>15</v>
      </c>
      <c r="B119" s="60" t="s">
        <v>201</v>
      </c>
      <c r="C119" s="10" t="str">
        <f>"13/2015-3/2017"</f>
        <v>13/2015-3/2017</v>
      </c>
      <c r="D119" s="56">
        <v>42917</v>
      </c>
      <c r="E119" s="56">
        <v>43264</v>
      </c>
      <c r="F119" s="8">
        <v>57172.2</v>
      </c>
      <c r="G119" s="8">
        <v>71465.25</v>
      </c>
      <c r="H119" s="56">
        <v>43100</v>
      </c>
      <c r="I119" s="37">
        <v>19560.662500000002</v>
      </c>
      <c r="J119" s="8"/>
    </row>
    <row r="120" spans="1:11" x14ac:dyDescent="0.25">
      <c r="A120" s="1">
        <v>16</v>
      </c>
      <c r="B120" s="60" t="s">
        <v>16</v>
      </c>
      <c r="C120" s="10" t="str">
        <f>"13-2017"</f>
        <v>13-2017</v>
      </c>
      <c r="D120" s="56">
        <v>42895</v>
      </c>
      <c r="E120" s="56">
        <v>43264</v>
      </c>
      <c r="F120" s="8">
        <v>6339.88</v>
      </c>
      <c r="G120" s="8">
        <v>7924.85</v>
      </c>
      <c r="H120" s="56">
        <v>43100</v>
      </c>
      <c r="I120" s="37">
        <v>6548.375</v>
      </c>
      <c r="J120" s="8"/>
    </row>
    <row r="121" spans="1:11" ht="24" x14ac:dyDescent="0.25">
      <c r="A121" s="1">
        <v>17</v>
      </c>
      <c r="B121" s="60" t="s">
        <v>18</v>
      </c>
      <c r="C121" s="10" t="str">
        <f>"SNUG-202-17-034-3"</f>
        <v>SNUG-202-17-034-3</v>
      </c>
      <c r="D121" s="56">
        <v>42873</v>
      </c>
      <c r="E121" s="56">
        <v>42916</v>
      </c>
      <c r="F121" s="8">
        <v>182316.54</v>
      </c>
      <c r="G121" s="8">
        <v>227895.67999999999</v>
      </c>
      <c r="H121" s="56">
        <v>42916</v>
      </c>
      <c r="I121" s="37">
        <v>227895.67500000002</v>
      </c>
      <c r="J121" s="8"/>
    </row>
    <row r="122" spans="1:11" ht="24" x14ac:dyDescent="0.25">
      <c r="A122" s="1">
        <v>18</v>
      </c>
      <c r="B122" s="60" t="s">
        <v>190</v>
      </c>
      <c r="C122" s="10" t="str">
        <f>"152/2017/R"</f>
        <v>152/2017/R</v>
      </c>
      <c r="D122" s="56">
        <v>42844</v>
      </c>
      <c r="E122" s="56">
        <v>42858</v>
      </c>
      <c r="F122" s="8">
        <v>360</v>
      </c>
      <c r="G122" s="8">
        <v>450</v>
      </c>
      <c r="H122" s="56">
        <v>42858</v>
      </c>
      <c r="I122" s="37">
        <v>450</v>
      </c>
      <c r="J122" s="8"/>
    </row>
    <row r="123" spans="1:11" ht="36" x14ac:dyDescent="0.25">
      <c r="A123" s="1">
        <v>19</v>
      </c>
      <c r="B123" s="60" t="s">
        <v>97</v>
      </c>
      <c r="C123" s="10" t="str">
        <f>"519-02-3-1/6-17-8"</f>
        <v>519-02-3-1/6-17-8</v>
      </c>
      <c r="D123" s="56">
        <v>42825</v>
      </c>
      <c r="E123" s="56">
        <v>42838</v>
      </c>
      <c r="F123" s="8">
        <v>116.5</v>
      </c>
      <c r="G123" s="8">
        <v>145.63</v>
      </c>
      <c r="H123" s="56">
        <v>42838</v>
      </c>
      <c r="I123" s="37">
        <v>145.625</v>
      </c>
      <c r="J123" s="8"/>
    </row>
    <row r="124" spans="1:11" ht="36" x14ac:dyDescent="0.25">
      <c r="A124" s="1">
        <v>20</v>
      </c>
      <c r="B124" s="60" t="s">
        <v>191</v>
      </c>
      <c r="C124" s="10" t="str">
        <f>"MFIN UŽI DIO NARUDŽ.II KVAR"</f>
        <v>MFIN UŽI DIO NARUDŽ.II KVAR</v>
      </c>
      <c r="D124" s="56">
        <v>42826</v>
      </c>
      <c r="E124" s="56">
        <v>42916</v>
      </c>
      <c r="F124" s="8">
        <v>1240.4000000000001</v>
      </c>
      <c r="G124" s="8">
        <v>1550.5</v>
      </c>
      <c r="H124" s="56">
        <v>42916</v>
      </c>
      <c r="I124" s="37">
        <v>1550.5</v>
      </c>
      <c r="J124" s="8"/>
      <c r="K124" s="48"/>
    </row>
    <row r="125" spans="1:11" ht="36" x14ac:dyDescent="0.25">
      <c r="A125" s="1">
        <v>21</v>
      </c>
      <c r="B125" s="60" t="s">
        <v>189</v>
      </c>
      <c r="C125" s="10" t="str">
        <f>"135/2017"</f>
        <v>135/2017</v>
      </c>
      <c r="D125" s="56">
        <v>42797</v>
      </c>
      <c r="E125" s="56">
        <v>42828</v>
      </c>
      <c r="F125" s="8">
        <v>71.7</v>
      </c>
      <c r="G125" s="8">
        <v>89.63</v>
      </c>
      <c r="H125" s="56">
        <v>42828</v>
      </c>
      <c r="I125" s="37">
        <v>89.625</v>
      </c>
      <c r="J125" s="8"/>
    </row>
    <row r="126" spans="1:11" ht="24" x14ac:dyDescent="0.25">
      <c r="A126" s="1">
        <v>22</v>
      </c>
      <c r="B126" s="60" t="s">
        <v>203</v>
      </c>
      <c r="C126" s="10" t="str">
        <f>"NARUDŽBENICA G3 2017."</f>
        <v>NARUDŽBENICA G3 2017.</v>
      </c>
      <c r="D126" s="56">
        <v>42790</v>
      </c>
      <c r="E126" s="56">
        <v>42790</v>
      </c>
      <c r="F126" s="8">
        <v>45</v>
      </c>
      <c r="G126" s="8">
        <v>56.25</v>
      </c>
      <c r="H126" s="56">
        <v>42825</v>
      </c>
      <c r="I126" s="37">
        <v>56.25</v>
      </c>
      <c r="J126" s="8"/>
    </row>
    <row r="127" spans="1:11" ht="24" x14ac:dyDescent="0.25">
      <c r="A127" s="1">
        <v>23</v>
      </c>
      <c r="B127" s="60" t="s">
        <v>18</v>
      </c>
      <c r="C127" s="10" t="str">
        <f>"SNUG-202-17-002-3"</f>
        <v>SNUG-202-17-002-3</v>
      </c>
      <c r="D127" s="56">
        <v>42786</v>
      </c>
      <c r="E127" s="56">
        <v>42825</v>
      </c>
      <c r="F127" s="8">
        <v>165428.53</v>
      </c>
      <c r="G127" s="8">
        <v>206785.66</v>
      </c>
      <c r="H127" s="56">
        <v>42825</v>
      </c>
      <c r="I127" s="37">
        <v>206785.66250000001</v>
      </c>
      <c r="J127" s="8"/>
    </row>
    <row r="128" spans="1:11" ht="24" x14ac:dyDescent="0.25">
      <c r="A128" s="1">
        <v>24</v>
      </c>
      <c r="B128" s="60" t="s">
        <v>191</v>
      </c>
      <c r="C128" s="10" t="str">
        <f>"NARUDĐ.-MFIN"</f>
        <v>NARUDĐ.-MFIN</v>
      </c>
      <c r="D128" s="56">
        <v>42774</v>
      </c>
      <c r="E128" s="56">
        <v>42825</v>
      </c>
      <c r="F128" s="8">
        <v>5291.49</v>
      </c>
      <c r="G128" s="8">
        <v>6614.36</v>
      </c>
      <c r="H128" s="56">
        <v>42825</v>
      </c>
      <c r="I128" s="37">
        <v>6614.3624999999993</v>
      </c>
      <c r="J128" s="8"/>
    </row>
    <row r="129" spans="1:10" ht="36" x14ac:dyDescent="0.25">
      <c r="A129" s="1">
        <v>25</v>
      </c>
      <c r="B129" s="60" t="s">
        <v>188</v>
      </c>
      <c r="C129" s="10" t="str">
        <f>"2-2017"</f>
        <v>2-2017</v>
      </c>
      <c r="D129" s="56">
        <v>42753</v>
      </c>
      <c r="E129" s="56">
        <v>42753</v>
      </c>
      <c r="F129" s="8">
        <v>311.39999999999998</v>
      </c>
      <c r="G129" s="8">
        <v>389.25</v>
      </c>
      <c r="H129" s="56">
        <v>42825</v>
      </c>
      <c r="I129" s="37">
        <v>389.25</v>
      </c>
      <c r="J129" s="24"/>
    </row>
    <row r="130" spans="1:10" ht="24" x14ac:dyDescent="0.25">
      <c r="A130" s="1">
        <v>26</v>
      </c>
      <c r="B130" s="60" t="s">
        <v>205</v>
      </c>
      <c r="C130" s="10" t="str">
        <f>"MRMS-POTR3-2017"</f>
        <v>MRMS-POTR3-2017</v>
      </c>
      <c r="D130" s="56">
        <v>42737</v>
      </c>
      <c r="E130" s="56">
        <v>43100</v>
      </c>
      <c r="F130" s="8">
        <v>10000</v>
      </c>
      <c r="G130" s="8">
        <v>12500</v>
      </c>
      <c r="H130" s="56">
        <v>43100</v>
      </c>
      <c r="I130" s="37">
        <v>2224.5500000000002</v>
      </c>
      <c r="J130" s="24"/>
    </row>
    <row r="131" spans="1:10" ht="36" x14ac:dyDescent="0.25">
      <c r="A131" s="1">
        <v>27</v>
      </c>
      <c r="B131" s="60" t="s">
        <v>206</v>
      </c>
      <c r="C131" s="10" t="str">
        <f>"NARUDŽBENICE POTROŠNI GRUPA 3"</f>
        <v>NARUDŽBENICE POTROŠNI GRUPA 3</v>
      </c>
      <c r="D131" s="56">
        <v>42736</v>
      </c>
      <c r="E131" s="56">
        <v>43100</v>
      </c>
      <c r="F131" s="8">
        <v>2400</v>
      </c>
      <c r="G131" s="8">
        <v>3000</v>
      </c>
      <c r="H131" s="56">
        <v>43100</v>
      </c>
      <c r="I131" s="37">
        <v>2427.8625000000002</v>
      </c>
      <c r="J131" s="24"/>
    </row>
    <row r="132" spans="1:10" ht="24" x14ac:dyDescent="0.25">
      <c r="A132" s="1">
        <v>28</v>
      </c>
      <c r="B132" s="60" t="s">
        <v>207</v>
      </c>
      <c r="C132" s="10" t="str">
        <f>"NAR2017- POTROŠNI 3"</f>
        <v>NAR2017- POTROŠNI 3</v>
      </c>
      <c r="D132" s="56">
        <v>42736</v>
      </c>
      <c r="E132" s="56">
        <v>43008</v>
      </c>
      <c r="F132" s="8">
        <v>4664.3999999999996</v>
      </c>
      <c r="G132" s="8">
        <v>5830.5</v>
      </c>
      <c r="H132" s="56">
        <v>43008</v>
      </c>
      <c r="I132" s="37">
        <v>5830.5</v>
      </c>
      <c r="J132" s="24"/>
    </row>
    <row r="133" spans="1:10" ht="24" x14ac:dyDescent="0.25">
      <c r="A133" s="1">
        <v>29</v>
      </c>
      <c r="B133" s="60" t="s">
        <v>204</v>
      </c>
      <c r="C133" s="10" t="str">
        <f>"13/2015-16/125-1"</f>
        <v>13/2015-16/125-1</v>
      </c>
      <c r="D133" s="56">
        <v>42734</v>
      </c>
      <c r="E133" s="56">
        <v>43100</v>
      </c>
      <c r="F133" s="8">
        <v>13572.45</v>
      </c>
      <c r="G133" s="8">
        <v>16965.560000000001</v>
      </c>
      <c r="H133" s="56">
        <v>43100</v>
      </c>
      <c r="I133" s="37">
        <v>16943.712499999998</v>
      </c>
      <c r="J133" s="24"/>
    </row>
    <row r="134" spans="1:10" ht="36" x14ac:dyDescent="0.25">
      <c r="A134" s="1">
        <v>30</v>
      </c>
      <c r="B134" s="60" t="s">
        <v>208</v>
      </c>
      <c r="C134" s="10" t="str">
        <f>"NAR2017 - POTROŠNI3"</f>
        <v>NAR2017 - POTROŠNI3</v>
      </c>
      <c r="D134" s="56">
        <v>42736</v>
      </c>
      <c r="E134" s="56">
        <v>43008</v>
      </c>
      <c r="F134" s="8">
        <v>82871.31</v>
      </c>
      <c r="G134" s="8">
        <v>103589.14</v>
      </c>
      <c r="H134" s="56">
        <v>43008</v>
      </c>
      <c r="I134" s="37">
        <v>103589.1375</v>
      </c>
      <c r="J134" s="8"/>
    </row>
    <row r="135" spans="1:10" ht="36" x14ac:dyDescent="0.25">
      <c r="A135" s="1">
        <v>31</v>
      </c>
      <c r="B135" s="60" t="s">
        <v>189</v>
      </c>
      <c r="C135" s="10" t="str">
        <f>"721/2016"</f>
        <v>721/2016</v>
      </c>
      <c r="D135" s="56">
        <v>42732</v>
      </c>
      <c r="E135" s="56">
        <v>42763</v>
      </c>
      <c r="F135" s="8">
        <v>58.2</v>
      </c>
      <c r="G135" s="8">
        <v>72.75</v>
      </c>
      <c r="H135" s="56">
        <v>42825</v>
      </c>
      <c r="I135" s="37">
        <v>72.75</v>
      </c>
      <c r="J135" s="8"/>
    </row>
    <row r="136" spans="1:10" ht="24" x14ac:dyDescent="0.25">
      <c r="A136" s="1">
        <v>32</v>
      </c>
      <c r="B136" s="60" t="s">
        <v>196</v>
      </c>
      <c r="C136" s="10" t="str">
        <f>"NAR 13/2015-3"</f>
        <v>NAR 13/2015-3</v>
      </c>
      <c r="D136" s="56">
        <v>42621</v>
      </c>
      <c r="E136" s="56">
        <v>42985</v>
      </c>
      <c r="F136" s="8">
        <v>4583.45</v>
      </c>
      <c r="G136" s="8">
        <v>5729.31</v>
      </c>
      <c r="H136" s="56">
        <v>42985</v>
      </c>
      <c r="I136" s="37">
        <v>5908.7374999999993</v>
      </c>
      <c r="J136" s="8"/>
    </row>
    <row r="137" spans="1:10" x14ac:dyDescent="0.25">
      <c r="A137" s="1">
        <v>33</v>
      </c>
      <c r="B137" s="60" t="s">
        <v>17</v>
      </c>
      <c r="C137" s="10" t="str">
        <f>"1-DUSJN/16-3"</f>
        <v>1-DUSJN/16-3</v>
      </c>
      <c r="D137" s="56">
        <v>42584</v>
      </c>
      <c r="E137" s="56">
        <v>43314</v>
      </c>
      <c r="F137" s="8">
        <v>795018.46</v>
      </c>
      <c r="G137" s="8">
        <v>993773.08</v>
      </c>
      <c r="H137" s="56">
        <v>43100</v>
      </c>
      <c r="I137" s="37">
        <v>2004797.15</v>
      </c>
      <c r="J137" s="8"/>
    </row>
    <row r="138" spans="1:10" ht="24" x14ac:dyDescent="0.25">
      <c r="A138" s="1">
        <v>34</v>
      </c>
      <c r="B138" s="60" t="s">
        <v>210</v>
      </c>
      <c r="C138" s="10" t="str">
        <f>"PU - POTROŠNI - GRUPA 3"</f>
        <v>PU - POTROŠNI - GRUPA 3</v>
      </c>
      <c r="D138" s="56">
        <v>42576</v>
      </c>
      <c r="E138" s="56">
        <v>42941</v>
      </c>
      <c r="F138" s="8">
        <v>18998.3</v>
      </c>
      <c r="G138" s="8">
        <v>23747.88</v>
      </c>
      <c r="H138" s="56">
        <v>42941</v>
      </c>
      <c r="I138" s="37">
        <v>31776.012500000001</v>
      </c>
      <c r="J138" s="8"/>
    </row>
    <row r="139" spans="1:10" ht="24" customHeight="1" x14ac:dyDescent="0.25">
      <c r="A139" s="1">
        <v>35</v>
      </c>
      <c r="B139" s="60" t="s">
        <v>193</v>
      </c>
      <c r="C139" s="10" t="str">
        <f>"10-5-16-2"</f>
        <v>10-5-16-2</v>
      </c>
      <c r="D139" s="56">
        <v>42572</v>
      </c>
      <c r="E139" s="56">
        <v>43264</v>
      </c>
      <c r="F139" s="8">
        <v>62000</v>
      </c>
      <c r="G139" s="8">
        <v>77500</v>
      </c>
      <c r="H139" s="56">
        <v>43100</v>
      </c>
      <c r="I139" s="108">
        <v>39109.550000000003</v>
      </c>
      <c r="J139" s="17"/>
    </row>
    <row r="140" spans="1:10" ht="24.75" customHeight="1" x14ac:dyDescent="0.25">
      <c r="A140" s="1">
        <v>36</v>
      </c>
      <c r="B140" s="60" t="s">
        <v>194</v>
      </c>
      <c r="C140" s="10" t="str">
        <f>"33 /16"</f>
        <v>33 /16</v>
      </c>
      <c r="D140" s="56">
        <v>42571</v>
      </c>
      <c r="E140" s="56">
        <v>42936</v>
      </c>
      <c r="F140" s="8">
        <v>35494.800000000003</v>
      </c>
      <c r="G140" s="8">
        <v>44368.5</v>
      </c>
      <c r="H140" s="56">
        <v>42936</v>
      </c>
      <c r="I140" s="37">
        <v>35536.262499999997</v>
      </c>
      <c r="J140" s="5"/>
    </row>
    <row r="141" spans="1:10" ht="15" customHeight="1" x14ac:dyDescent="0.25">
      <c r="A141" s="1">
        <v>37</v>
      </c>
      <c r="B141" s="60" t="s">
        <v>185</v>
      </c>
      <c r="C141" s="10" t="str">
        <f>"13/2015-3 UGOVOR"</f>
        <v>13/2015-3 UGOVOR</v>
      </c>
      <c r="D141" s="56">
        <v>42563</v>
      </c>
      <c r="E141" s="56">
        <v>43264</v>
      </c>
      <c r="F141" s="8">
        <v>12078.1</v>
      </c>
      <c r="G141" s="8">
        <v>15097.63</v>
      </c>
      <c r="H141" s="56">
        <v>43100</v>
      </c>
      <c r="I141" s="37">
        <v>13400.375</v>
      </c>
      <c r="J141" s="5"/>
    </row>
    <row r="142" spans="1:10" ht="24" customHeight="1" x14ac:dyDescent="0.25">
      <c r="A142" s="1">
        <v>38</v>
      </c>
      <c r="B142" s="60" t="s">
        <v>187</v>
      </c>
      <c r="C142" s="10" t="str">
        <f>"802/01-16/02OS-3-U1"</f>
        <v>802/01-16/02OS-3-U1</v>
      </c>
      <c r="D142" s="56">
        <v>42556</v>
      </c>
      <c r="E142" s="56">
        <v>42921</v>
      </c>
      <c r="F142" s="8">
        <v>3619.21</v>
      </c>
      <c r="G142" s="8">
        <v>4524.01</v>
      </c>
      <c r="H142" s="56">
        <v>42916</v>
      </c>
      <c r="I142" s="37">
        <v>3442.1374999999998</v>
      </c>
      <c r="J142" s="5"/>
    </row>
    <row r="143" spans="1:10" ht="15" customHeight="1" x14ac:dyDescent="0.25">
      <c r="A143" s="1">
        <v>39</v>
      </c>
      <c r="B143" s="60" t="s">
        <v>186</v>
      </c>
      <c r="C143" s="10" t="str">
        <f>"406-01/16-01/0118"</f>
        <v>406-01/16-01/0118</v>
      </c>
      <c r="D143" s="56">
        <v>42556</v>
      </c>
      <c r="E143" s="56">
        <v>42920</v>
      </c>
      <c r="F143" s="8">
        <v>19298.060000000001</v>
      </c>
      <c r="G143" s="8">
        <v>24122.58</v>
      </c>
      <c r="H143" s="56">
        <v>42920</v>
      </c>
      <c r="I143" s="37">
        <v>26309.225000000002</v>
      </c>
      <c r="J143" s="5"/>
    </row>
    <row r="144" spans="1:10" ht="15" customHeight="1" x14ac:dyDescent="0.25">
      <c r="A144" s="1">
        <v>40</v>
      </c>
      <c r="B144" s="60" t="s">
        <v>278</v>
      </c>
      <c r="C144" s="10" t="str">
        <f>"77/2016"</f>
        <v>77/2016</v>
      </c>
      <c r="D144" s="56">
        <v>42552</v>
      </c>
      <c r="E144" s="56">
        <v>43264</v>
      </c>
      <c r="F144" s="8">
        <v>41139.72</v>
      </c>
      <c r="G144" s="8">
        <v>51424.65</v>
      </c>
      <c r="H144" s="56">
        <v>43100</v>
      </c>
      <c r="I144" s="37">
        <v>12838.699999999999</v>
      </c>
      <c r="J144" s="5"/>
    </row>
    <row r="145" spans="1:14" ht="15" customHeight="1" x14ac:dyDescent="0.25">
      <c r="A145" s="1">
        <v>41</v>
      </c>
      <c r="B145" s="60" t="s">
        <v>16</v>
      </c>
      <c r="C145" s="10" t="str">
        <f>"38-2016"</f>
        <v>38-2016</v>
      </c>
      <c r="D145" s="56">
        <v>42534</v>
      </c>
      <c r="E145" s="56">
        <v>42917</v>
      </c>
      <c r="F145" s="8">
        <v>9247.74</v>
      </c>
      <c r="G145" s="8">
        <v>11559.68</v>
      </c>
      <c r="H145" s="56">
        <v>43008</v>
      </c>
      <c r="I145" s="37">
        <v>6457.35</v>
      </c>
      <c r="J145" s="5"/>
    </row>
    <row r="146" spans="1:14" ht="24" customHeight="1" x14ac:dyDescent="0.25">
      <c r="A146" s="1">
        <v>42</v>
      </c>
      <c r="B146" s="60" t="s">
        <v>201</v>
      </c>
      <c r="C146" s="10" t="str">
        <f>"13/2015-3/2016"</f>
        <v>13/2015-3/2016</v>
      </c>
      <c r="D146" s="56">
        <v>42552</v>
      </c>
      <c r="E146" s="56">
        <v>42916</v>
      </c>
      <c r="F146" s="8">
        <v>57172</v>
      </c>
      <c r="G146" s="8">
        <v>71465</v>
      </c>
      <c r="H146" s="56">
        <v>42916</v>
      </c>
      <c r="I146" s="37">
        <v>38860.412500000006</v>
      </c>
      <c r="J146" s="5"/>
    </row>
    <row r="147" spans="1:14" ht="23.25" customHeight="1" x14ac:dyDescent="0.25">
      <c r="A147" s="1">
        <v>43</v>
      </c>
      <c r="B147" s="60" t="s">
        <v>209</v>
      </c>
      <c r="C147" s="10" t="str">
        <f>"920-07/16-13/13/GR3"</f>
        <v>920-07/16-13/13/GR3</v>
      </c>
      <c r="D147" s="56">
        <v>42562</v>
      </c>
      <c r="E147" s="56">
        <v>43264</v>
      </c>
      <c r="F147" s="8">
        <v>44048.7</v>
      </c>
      <c r="G147" s="8">
        <v>55060.88</v>
      </c>
      <c r="H147" s="56">
        <v>43100</v>
      </c>
      <c r="I147" s="37">
        <v>16230.637500000001</v>
      </c>
      <c r="J147" s="5"/>
    </row>
    <row r="148" spans="1:14" ht="15" customHeight="1" x14ac:dyDescent="0.25">
      <c r="A148" s="1">
        <v>44</v>
      </c>
      <c r="B148" s="60" t="s">
        <v>212</v>
      </c>
      <c r="C148" s="10" t="str">
        <f>"13/2015- 3"</f>
        <v>13/2015- 3</v>
      </c>
      <c r="D148" s="56">
        <v>42534</v>
      </c>
      <c r="E148" s="56">
        <v>43264</v>
      </c>
      <c r="F148" s="8">
        <v>1308.25</v>
      </c>
      <c r="G148" s="8">
        <v>1635.31</v>
      </c>
      <c r="H148" s="56">
        <v>43100</v>
      </c>
      <c r="I148" s="37">
        <v>12101.9625</v>
      </c>
      <c r="J148" s="5"/>
    </row>
    <row r="149" spans="1:14" ht="36" customHeight="1" x14ac:dyDescent="0.25">
      <c r="A149" s="1">
        <v>45</v>
      </c>
      <c r="B149" s="60" t="s">
        <v>189</v>
      </c>
      <c r="C149" s="10" t="str">
        <f>"439/2016"</f>
        <v>439/2016</v>
      </c>
      <c r="D149" s="56">
        <v>42620</v>
      </c>
      <c r="E149" s="56">
        <v>43264</v>
      </c>
      <c r="F149" s="8">
        <v>629.87</v>
      </c>
      <c r="G149" s="8">
        <v>787.34</v>
      </c>
      <c r="H149" s="56">
        <v>43100</v>
      </c>
      <c r="I149" s="37">
        <v>787.33749999999998</v>
      </c>
      <c r="J149" s="5"/>
    </row>
    <row r="150" spans="1:14" ht="24.75" customHeight="1" x14ac:dyDescent="0.25">
      <c r="A150" s="1">
        <v>46</v>
      </c>
      <c r="B150" s="60" t="s">
        <v>211</v>
      </c>
      <c r="C150" s="10" t="str">
        <f>"13-2015-3"</f>
        <v>13-2015-3</v>
      </c>
      <c r="D150" s="56">
        <v>42534</v>
      </c>
      <c r="E150" s="56">
        <v>43264</v>
      </c>
      <c r="F150" s="8">
        <v>1000</v>
      </c>
      <c r="G150" s="8">
        <v>1250</v>
      </c>
      <c r="H150" s="56">
        <v>43100</v>
      </c>
      <c r="I150" s="37">
        <v>2718.9249999999997</v>
      </c>
      <c r="J150" s="5"/>
    </row>
    <row r="151" spans="1:14" ht="38.25" customHeight="1" x14ac:dyDescent="0.25">
      <c r="A151" s="1">
        <v>47</v>
      </c>
      <c r="B151" s="60" t="s">
        <v>189</v>
      </c>
      <c r="C151" s="10" t="str">
        <f>"371/2016"</f>
        <v>371/2016</v>
      </c>
      <c r="D151" s="56">
        <v>42570</v>
      </c>
      <c r="E151" s="56">
        <v>43264</v>
      </c>
      <c r="F151" s="8">
        <v>208.55</v>
      </c>
      <c r="G151" s="8">
        <v>260.69</v>
      </c>
      <c r="H151" s="56">
        <v>43100</v>
      </c>
      <c r="I151" s="37">
        <v>260.6875</v>
      </c>
      <c r="J151" s="5"/>
    </row>
    <row r="152" spans="1:14" ht="24" customHeight="1" x14ac:dyDescent="0.25">
      <c r="A152" s="1">
        <v>48</v>
      </c>
      <c r="B152" s="60" t="s">
        <v>199</v>
      </c>
      <c r="C152" s="10" t="str">
        <f>"13/2015-3-MB"</f>
        <v>13/2015-3-MB</v>
      </c>
      <c r="D152" s="56">
        <v>42534</v>
      </c>
      <c r="E152" s="56">
        <v>43264</v>
      </c>
      <c r="F152" s="8">
        <v>0</v>
      </c>
      <c r="G152" s="8">
        <v>0</v>
      </c>
      <c r="H152" s="56">
        <v>43100</v>
      </c>
      <c r="I152" s="37">
        <v>16217.137499999999</v>
      </c>
      <c r="J152" s="5"/>
    </row>
    <row r="153" spans="1:14" ht="7.5" customHeight="1" x14ac:dyDescent="0.25"/>
    <row r="154" spans="1:14" x14ac:dyDescent="0.25">
      <c r="A154" s="175" t="s">
        <v>13</v>
      </c>
      <c r="B154" s="175"/>
      <c r="C154" s="175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</row>
    <row r="155" spans="1:14" ht="36" x14ac:dyDescent="0.25">
      <c r="A155" s="53" t="s">
        <v>0</v>
      </c>
      <c r="B155" s="54" t="s">
        <v>1</v>
      </c>
      <c r="C155" s="54" t="s">
        <v>3</v>
      </c>
      <c r="D155" s="178" t="s">
        <v>171</v>
      </c>
      <c r="E155" s="178"/>
      <c r="F155" s="54" t="s">
        <v>166</v>
      </c>
      <c r="G155" s="54" t="s">
        <v>170</v>
      </c>
      <c r="H155" s="54" t="s">
        <v>167</v>
      </c>
      <c r="I155" s="54" t="s">
        <v>4</v>
      </c>
      <c r="J155" s="54" t="s">
        <v>5</v>
      </c>
      <c r="K155" s="54" t="s">
        <v>2</v>
      </c>
      <c r="L155" s="54" t="s">
        <v>172</v>
      </c>
      <c r="M155" s="54" t="s">
        <v>173</v>
      </c>
      <c r="N155" s="54" t="s">
        <v>169</v>
      </c>
    </row>
    <row r="156" spans="1:14" ht="35.25" customHeight="1" x14ac:dyDescent="0.25">
      <c r="A156" s="1">
        <v>1</v>
      </c>
      <c r="B156" s="4" t="s">
        <v>178</v>
      </c>
      <c r="C156" s="1" t="s">
        <v>83</v>
      </c>
      <c r="D156" s="181" t="s">
        <v>1021</v>
      </c>
      <c r="E156" s="182"/>
      <c r="F156" s="38" t="s">
        <v>100</v>
      </c>
      <c r="G156" s="38" t="s">
        <v>1000</v>
      </c>
      <c r="H156" s="1" t="s">
        <v>15</v>
      </c>
      <c r="I156" s="15">
        <v>42534</v>
      </c>
      <c r="J156" s="1" t="s">
        <v>51</v>
      </c>
      <c r="K156" s="5">
        <v>4365315.5</v>
      </c>
      <c r="L156" s="84">
        <f>K156*0.25</f>
        <v>1091328.875</v>
      </c>
      <c r="M156" s="84">
        <f>K156+L156</f>
        <v>5456644.375</v>
      </c>
      <c r="N156" s="176"/>
    </row>
    <row r="157" spans="1:14" ht="15" customHeight="1" x14ac:dyDescent="0.25">
      <c r="A157" s="177" t="s">
        <v>1012</v>
      </c>
      <c r="B157" s="177"/>
      <c r="C157" s="177"/>
      <c r="D157" s="177"/>
      <c r="E157" s="177"/>
      <c r="F157" s="177"/>
      <c r="G157" s="177"/>
      <c r="H157" s="177"/>
      <c r="I157" s="177"/>
      <c r="J157" s="177"/>
      <c r="K157" s="177"/>
      <c r="L157" s="177"/>
      <c r="M157" s="97">
        <v>1383129.28</v>
      </c>
      <c r="N157" s="176"/>
    </row>
    <row r="158" spans="1:14" ht="7.5" customHeight="1" x14ac:dyDescent="0.25">
      <c r="L158" s="47"/>
    </row>
    <row r="159" spans="1:14" ht="15" customHeight="1" x14ac:dyDescent="0.25">
      <c r="A159" s="175" t="s">
        <v>12</v>
      </c>
      <c r="B159" s="175"/>
      <c r="C159" s="175"/>
      <c r="D159" s="175"/>
      <c r="E159" s="175"/>
      <c r="F159" s="175"/>
      <c r="G159" s="175"/>
      <c r="H159" s="175"/>
      <c r="I159" s="175"/>
      <c r="J159" s="175"/>
      <c r="K159" s="49"/>
      <c r="L159" s="49"/>
    </row>
    <row r="160" spans="1:14" ht="48" customHeight="1" x14ac:dyDescent="0.25">
      <c r="A160" s="2" t="s">
        <v>0</v>
      </c>
      <c r="B160" s="3" t="s">
        <v>7</v>
      </c>
      <c r="C160" s="3" t="s">
        <v>6</v>
      </c>
      <c r="D160" s="3" t="s">
        <v>8</v>
      </c>
      <c r="E160" s="3" t="s">
        <v>168</v>
      </c>
      <c r="F160" s="3" t="s">
        <v>174</v>
      </c>
      <c r="G160" s="3" t="s">
        <v>175</v>
      </c>
      <c r="H160" s="3" t="s">
        <v>9</v>
      </c>
      <c r="I160" s="3" t="s">
        <v>176</v>
      </c>
      <c r="J160" s="3" t="s">
        <v>10</v>
      </c>
      <c r="K160" s="48"/>
      <c r="L160" s="48"/>
      <c r="M160" s="48"/>
    </row>
    <row r="161" spans="1:10" ht="36" x14ac:dyDescent="0.25">
      <c r="A161" s="1">
        <v>1</v>
      </c>
      <c r="B161" s="74" t="s">
        <v>189</v>
      </c>
      <c r="C161" s="7" t="str">
        <f>"957/2017"</f>
        <v>957/2017</v>
      </c>
      <c r="D161" s="67">
        <v>43074</v>
      </c>
      <c r="E161" s="67">
        <v>43105</v>
      </c>
      <c r="F161" s="5">
        <v>17.600000000000001</v>
      </c>
      <c r="G161" s="5">
        <v>22</v>
      </c>
      <c r="H161" s="67">
        <v>43100</v>
      </c>
      <c r="I161" s="37">
        <v>22</v>
      </c>
      <c r="J161" s="71"/>
    </row>
    <row r="162" spans="1:10" x14ac:dyDescent="0.25">
      <c r="A162" s="1">
        <v>2</v>
      </c>
      <c r="B162" s="74" t="s">
        <v>191</v>
      </c>
      <c r="C162" s="7" t="str">
        <f>"2"</f>
        <v>2</v>
      </c>
      <c r="D162" s="67">
        <v>43066</v>
      </c>
      <c r="E162" s="67">
        <v>43075</v>
      </c>
      <c r="F162" s="5">
        <v>3983.8</v>
      </c>
      <c r="G162" s="5">
        <v>4979.75</v>
      </c>
      <c r="H162" s="67">
        <v>43075</v>
      </c>
      <c r="I162" s="37">
        <v>4979.75</v>
      </c>
      <c r="J162" s="71"/>
    </row>
    <row r="163" spans="1:10" ht="24" x14ac:dyDescent="0.25">
      <c r="A163" s="1">
        <v>3</v>
      </c>
      <c r="B163" s="74" t="s">
        <v>18</v>
      </c>
      <c r="C163" s="7" t="str">
        <f>"SNUG-202-17-063-4"</f>
        <v>SNUG-202-17-063-4</v>
      </c>
      <c r="D163" s="67">
        <v>43034</v>
      </c>
      <c r="E163" s="67">
        <v>43100</v>
      </c>
      <c r="F163" s="5">
        <v>210886.5</v>
      </c>
      <c r="G163" s="5">
        <v>263608.13</v>
      </c>
      <c r="H163" s="67">
        <v>43100</v>
      </c>
      <c r="I163" s="37">
        <v>263608.125</v>
      </c>
      <c r="J163" s="71"/>
    </row>
    <row r="164" spans="1:10" ht="36" x14ac:dyDescent="0.25">
      <c r="A164" s="1">
        <v>4</v>
      </c>
      <c r="B164" s="74" t="s">
        <v>189</v>
      </c>
      <c r="C164" s="7" t="str">
        <f>"677/2017"</f>
        <v>677/2017</v>
      </c>
      <c r="D164" s="67">
        <v>43014</v>
      </c>
      <c r="E164" s="67">
        <v>43045</v>
      </c>
      <c r="F164" s="5">
        <v>40.5</v>
      </c>
      <c r="G164" s="5">
        <v>50.63</v>
      </c>
      <c r="H164" s="67">
        <v>43100</v>
      </c>
      <c r="I164" s="37">
        <v>50.625</v>
      </c>
      <c r="J164" s="71"/>
    </row>
    <row r="165" spans="1:10" ht="36" x14ac:dyDescent="0.25">
      <c r="A165" s="1">
        <v>5</v>
      </c>
      <c r="B165" s="74" t="s">
        <v>188</v>
      </c>
      <c r="C165" s="7" t="str">
        <f>"104-2017"</f>
        <v>104-2017</v>
      </c>
      <c r="D165" s="67">
        <v>43010</v>
      </c>
      <c r="E165" s="67">
        <v>43010</v>
      </c>
      <c r="F165" s="5">
        <v>42.4</v>
      </c>
      <c r="G165" s="5">
        <v>53</v>
      </c>
      <c r="H165" s="67">
        <v>43100</v>
      </c>
      <c r="I165" s="37">
        <v>53</v>
      </c>
      <c r="J165" s="71"/>
    </row>
    <row r="166" spans="1:10" ht="36" x14ac:dyDescent="0.25">
      <c r="A166" s="1">
        <v>6</v>
      </c>
      <c r="B166" s="74" t="s">
        <v>97</v>
      </c>
      <c r="C166" s="7" t="str">
        <f>"519-02-3-1/6-17-24 GRUPA 4"</f>
        <v>519-02-3-1/6-17-24 GRUPA 4</v>
      </c>
      <c r="D166" s="67">
        <v>43003</v>
      </c>
      <c r="E166" s="67">
        <v>43007</v>
      </c>
      <c r="F166" s="5">
        <v>735.5</v>
      </c>
      <c r="G166" s="5">
        <v>919.38</v>
      </c>
      <c r="H166" s="164"/>
      <c r="I166" s="166">
        <v>0</v>
      </c>
      <c r="J166" s="71"/>
    </row>
    <row r="167" spans="1:10" ht="24" x14ac:dyDescent="0.25">
      <c r="A167" s="1">
        <v>7</v>
      </c>
      <c r="B167" s="74" t="s">
        <v>196</v>
      </c>
      <c r="C167" s="7" t="str">
        <f>"NAR 13/2015-4_2"</f>
        <v>NAR 13/2015-4_2</v>
      </c>
      <c r="D167" s="67">
        <v>43004</v>
      </c>
      <c r="E167" s="67">
        <v>43264</v>
      </c>
      <c r="F167" s="5">
        <v>9807.9</v>
      </c>
      <c r="G167" s="5">
        <v>12259.88</v>
      </c>
      <c r="H167" s="67">
        <v>43100</v>
      </c>
      <c r="I167" s="37">
        <v>459.875</v>
      </c>
      <c r="J167" s="71"/>
    </row>
    <row r="168" spans="1:10" ht="24" x14ac:dyDescent="0.25">
      <c r="A168" s="1">
        <v>8</v>
      </c>
      <c r="B168" s="74" t="s">
        <v>194</v>
      </c>
      <c r="C168" s="7" t="str">
        <f>"37/17"</f>
        <v>37/17</v>
      </c>
      <c r="D168" s="67">
        <v>42934</v>
      </c>
      <c r="E168" s="67">
        <v>43263</v>
      </c>
      <c r="F168" s="5">
        <v>31998</v>
      </c>
      <c r="G168" s="5">
        <v>39997.5</v>
      </c>
      <c r="H168" s="67">
        <v>43100</v>
      </c>
      <c r="I168" s="37">
        <v>11038</v>
      </c>
      <c r="J168" s="71"/>
    </row>
    <row r="169" spans="1:10" ht="24" x14ac:dyDescent="0.25">
      <c r="A169" s="1">
        <v>9</v>
      </c>
      <c r="B169" s="74" t="s">
        <v>191</v>
      </c>
      <c r="C169" s="7" t="str">
        <f>"MFIN UŽI DIO,NAR.17348"</f>
        <v>MFIN UŽI DIO,NAR.17348</v>
      </c>
      <c r="D169" s="67">
        <v>42935</v>
      </c>
      <c r="E169" s="67">
        <v>42966</v>
      </c>
      <c r="F169" s="5">
        <v>4961.1000000000004</v>
      </c>
      <c r="G169" s="5">
        <v>6201.38</v>
      </c>
      <c r="H169" s="67">
        <v>43008</v>
      </c>
      <c r="I169" s="37">
        <v>6201.375</v>
      </c>
      <c r="J169" s="71"/>
    </row>
    <row r="170" spans="1:10" ht="24" x14ac:dyDescent="0.25">
      <c r="A170" s="1">
        <v>10</v>
      </c>
      <c r="B170" s="74" t="s">
        <v>18</v>
      </c>
      <c r="C170" s="7" t="str">
        <f>"SNUG-202-17-037-4"</f>
        <v>SNUG-202-17-037-4</v>
      </c>
      <c r="D170" s="67">
        <v>42922</v>
      </c>
      <c r="E170" s="67">
        <v>43008</v>
      </c>
      <c r="F170" s="5">
        <v>154447.9</v>
      </c>
      <c r="G170" s="5">
        <v>193059.88</v>
      </c>
      <c r="H170" s="67">
        <v>43008</v>
      </c>
      <c r="I170" s="37">
        <v>193059.875</v>
      </c>
      <c r="J170" s="71"/>
    </row>
    <row r="171" spans="1:10" ht="24" x14ac:dyDescent="0.25">
      <c r="A171" s="1">
        <v>11</v>
      </c>
      <c r="B171" s="74" t="s">
        <v>186</v>
      </c>
      <c r="C171" s="7" t="str">
        <f>"406-01/16-01/0117"</f>
        <v>406-01/16-01/0117</v>
      </c>
      <c r="D171" s="67">
        <v>42920</v>
      </c>
      <c r="E171" s="67">
        <v>43285</v>
      </c>
      <c r="F171" s="5">
        <v>26717</v>
      </c>
      <c r="G171" s="5">
        <v>33396.25</v>
      </c>
      <c r="H171" s="67">
        <v>43008</v>
      </c>
      <c r="I171" s="37">
        <v>4951.7624999999998</v>
      </c>
      <c r="J171" s="71"/>
    </row>
    <row r="172" spans="1:10" x14ac:dyDescent="0.25">
      <c r="A172" s="1">
        <v>12</v>
      </c>
      <c r="B172" s="74" t="s">
        <v>16</v>
      </c>
      <c r="C172" s="7" t="str">
        <f>"14-2017"</f>
        <v>14-2017</v>
      </c>
      <c r="D172" s="67">
        <v>42895</v>
      </c>
      <c r="E172" s="67">
        <v>43264</v>
      </c>
      <c r="F172" s="5">
        <v>6986.8</v>
      </c>
      <c r="G172" s="5">
        <v>8733.5</v>
      </c>
      <c r="H172" s="67">
        <v>43100</v>
      </c>
      <c r="I172" s="37">
        <v>2153.8874999999998</v>
      </c>
      <c r="J172" s="71"/>
    </row>
    <row r="173" spans="1:10" ht="24" x14ac:dyDescent="0.25">
      <c r="A173" s="1">
        <v>13</v>
      </c>
      <c r="B173" s="74" t="s">
        <v>201</v>
      </c>
      <c r="C173" s="7" t="str">
        <f>"13/2015-4/2017"</f>
        <v>13/2015-4/2017</v>
      </c>
      <c r="D173" s="67">
        <v>42917</v>
      </c>
      <c r="E173" s="67">
        <v>43264</v>
      </c>
      <c r="F173" s="5">
        <v>37479.699999999997</v>
      </c>
      <c r="G173" s="5">
        <v>46849.63</v>
      </c>
      <c r="H173" s="67">
        <v>43100</v>
      </c>
      <c r="I173" s="37">
        <v>13808.375</v>
      </c>
      <c r="J173" s="71"/>
    </row>
    <row r="174" spans="1:10" x14ac:dyDescent="0.25">
      <c r="A174" s="1">
        <v>14</v>
      </c>
      <c r="B174" s="74" t="s">
        <v>198</v>
      </c>
      <c r="C174" s="7" t="str">
        <f>"P/15096284"</f>
        <v>P/15096284</v>
      </c>
      <c r="D174" s="67">
        <v>42905</v>
      </c>
      <c r="E174" s="67">
        <v>43270</v>
      </c>
      <c r="F174" s="5">
        <v>51345.5</v>
      </c>
      <c r="G174" s="5">
        <v>64181.88</v>
      </c>
      <c r="H174" s="67">
        <v>43100</v>
      </c>
      <c r="I174" s="37">
        <v>17375.125</v>
      </c>
      <c r="J174" s="71"/>
    </row>
    <row r="175" spans="1:10" ht="24" x14ac:dyDescent="0.25">
      <c r="A175" s="1">
        <v>15</v>
      </c>
      <c r="B175" s="74" t="s">
        <v>187</v>
      </c>
      <c r="C175" s="7" t="str">
        <f>"802/01-16/02OS-4-U2"</f>
        <v>802/01-16/02OS-4-U2</v>
      </c>
      <c r="D175" s="67">
        <v>42900</v>
      </c>
      <c r="E175" s="67">
        <v>43264</v>
      </c>
      <c r="F175" s="5">
        <v>955.82</v>
      </c>
      <c r="G175" s="5">
        <v>1194.78</v>
      </c>
      <c r="H175" s="67">
        <v>42916</v>
      </c>
      <c r="I175" s="37">
        <v>156.5</v>
      </c>
      <c r="J175" s="71"/>
    </row>
    <row r="176" spans="1:10" ht="36" x14ac:dyDescent="0.25">
      <c r="A176" s="1">
        <v>16</v>
      </c>
      <c r="B176" s="74" t="s">
        <v>97</v>
      </c>
      <c r="C176" s="7" t="str">
        <f>"030-01/16-01/68"</f>
        <v>030-01/16-01/68</v>
      </c>
      <c r="D176" s="67">
        <v>42884</v>
      </c>
      <c r="E176" s="67">
        <v>42888</v>
      </c>
      <c r="F176" s="5">
        <v>132</v>
      </c>
      <c r="G176" s="5">
        <v>165</v>
      </c>
      <c r="H176" s="67">
        <v>42888</v>
      </c>
      <c r="I176" s="37">
        <v>165</v>
      </c>
      <c r="J176" s="71"/>
    </row>
    <row r="177" spans="1:11" ht="36" x14ac:dyDescent="0.25">
      <c r="A177" s="1">
        <v>17</v>
      </c>
      <c r="B177" s="74" t="s">
        <v>188</v>
      </c>
      <c r="C177" s="7" t="str">
        <f>"51-2017"</f>
        <v>51-2017</v>
      </c>
      <c r="D177" s="67">
        <v>42877</v>
      </c>
      <c r="E177" s="67">
        <v>42877</v>
      </c>
      <c r="F177" s="5">
        <v>148.19999999999999</v>
      </c>
      <c r="G177" s="5">
        <v>185.25</v>
      </c>
      <c r="H177" s="67">
        <v>42916</v>
      </c>
      <c r="I177" s="37">
        <v>185.25</v>
      </c>
      <c r="J177" s="71"/>
    </row>
    <row r="178" spans="1:11" ht="24" x14ac:dyDescent="0.25">
      <c r="A178" s="1">
        <v>18</v>
      </c>
      <c r="B178" s="74" t="s">
        <v>18</v>
      </c>
      <c r="C178" s="7" t="str">
        <f>"SNUG-202-17-034-4"</f>
        <v>SNUG-202-17-034-4</v>
      </c>
      <c r="D178" s="67">
        <v>42873</v>
      </c>
      <c r="E178" s="67">
        <v>42916</v>
      </c>
      <c r="F178" s="5">
        <v>187292.3</v>
      </c>
      <c r="G178" s="5">
        <v>234115.38</v>
      </c>
      <c r="H178" s="67">
        <v>42916</v>
      </c>
      <c r="I178" s="37">
        <v>234115.375</v>
      </c>
      <c r="J178" s="71"/>
    </row>
    <row r="179" spans="1:11" ht="24" x14ac:dyDescent="0.25">
      <c r="A179" s="1">
        <v>19</v>
      </c>
      <c r="B179" s="74" t="s">
        <v>202</v>
      </c>
      <c r="C179" s="7" t="str">
        <f>"INSAKO 58/2017"</f>
        <v>INSAKO 58/2017</v>
      </c>
      <c r="D179" s="67">
        <v>42837</v>
      </c>
      <c r="E179" s="67">
        <v>42847</v>
      </c>
      <c r="F179" s="5">
        <v>430</v>
      </c>
      <c r="G179" s="5">
        <v>537.5</v>
      </c>
      <c r="H179" s="67">
        <v>42916</v>
      </c>
      <c r="I179" s="37">
        <v>537.5</v>
      </c>
      <c r="J179" s="71"/>
    </row>
    <row r="180" spans="1:11" ht="36" x14ac:dyDescent="0.25">
      <c r="A180" s="1">
        <v>20</v>
      </c>
      <c r="B180" s="74" t="s">
        <v>191</v>
      </c>
      <c r="C180" s="7" t="str">
        <f>"MFIN UŽI DIO NARUDŽ,II KVARTAL"</f>
        <v>MFIN UŽI DIO NARUDŽ,II KVARTAL</v>
      </c>
      <c r="D180" s="67">
        <v>42826</v>
      </c>
      <c r="E180" s="67">
        <v>42916</v>
      </c>
      <c r="F180" s="5">
        <v>5462</v>
      </c>
      <c r="G180" s="5">
        <v>6827.5</v>
      </c>
      <c r="H180" s="67">
        <v>42916</v>
      </c>
      <c r="I180" s="37">
        <v>6827.5</v>
      </c>
      <c r="J180" s="71"/>
    </row>
    <row r="181" spans="1:11" ht="36" x14ac:dyDescent="0.25">
      <c r="A181" s="1">
        <v>21</v>
      </c>
      <c r="B181" s="74" t="s">
        <v>97</v>
      </c>
      <c r="C181" s="7" t="str">
        <f>"519-02-3-1/6-17-19"</f>
        <v>519-02-3-1/6-17-19</v>
      </c>
      <c r="D181" s="67">
        <v>42825</v>
      </c>
      <c r="E181" s="67">
        <v>42830</v>
      </c>
      <c r="F181" s="5">
        <v>970.3</v>
      </c>
      <c r="G181" s="5">
        <v>1212.8800000000001</v>
      </c>
      <c r="H181" s="67">
        <v>42825</v>
      </c>
      <c r="I181" s="37">
        <v>1212.875</v>
      </c>
      <c r="J181" s="71"/>
    </row>
    <row r="182" spans="1:11" ht="36" x14ac:dyDescent="0.25">
      <c r="A182" s="1">
        <v>22</v>
      </c>
      <c r="B182" s="74" t="s">
        <v>189</v>
      </c>
      <c r="C182" s="7" t="str">
        <f>"187/2017"</f>
        <v>187/2017</v>
      </c>
      <c r="D182" s="67">
        <v>42822</v>
      </c>
      <c r="E182" s="67">
        <v>42853</v>
      </c>
      <c r="F182" s="5">
        <v>396</v>
      </c>
      <c r="G182" s="5">
        <v>495</v>
      </c>
      <c r="H182" s="67">
        <v>42916</v>
      </c>
      <c r="I182" s="37">
        <v>495</v>
      </c>
      <c r="J182" s="71"/>
    </row>
    <row r="183" spans="1:11" ht="24" x14ac:dyDescent="0.25">
      <c r="A183" s="1">
        <v>23</v>
      </c>
      <c r="B183" s="74" t="s">
        <v>191</v>
      </c>
      <c r="C183" s="7" t="str">
        <f>"NARUDŽ.-MFIN"</f>
        <v>NARUDŽ.-MFIN</v>
      </c>
      <c r="D183" s="67">
        <v>42807</v>
      </c>
      <c r="E183" s="67">
        <v>42825</v>
      </c>
      <c r="F183" s="5">
        <v>4778.3</v>
      </c>
      <c r="G183" s="5">
        <v>5972.88</v>
      </c>
      <c r="H183" s="67">
        <v>42825</v>
      </c>
      <c r="I183" s="37">
        <v>5972.875</v>
      </c>
      <c r="J183" s="71"/>
    </row>
    <row r="184" spans="1:11" ht="36" x14ac:dyDescent="0.25">
      <c r="A184" s="1">
        <v>24</v>
      </c>
      <c r="B184" s="74" t="s">
        <v>189</v>
      </c>
      <c r="C184" s="7" t="str">
        <f>"136/2017"</f>
        <v>136/2017</v>
      </c>
      <c r="D184" s="67">
        <v>42797</v>
      </c>
      <c r="E184" s="67">
        <v>42828</v>
      </c>
      <c r="F184" s="5">
        <v>570.9</v>
      </c>
      <c r="G184" s="5">
        <v>713.63</v>
      </c>
      <c r="H184" s="67">
        <v>42828</v>
      </c>
      <c r="I184" s="37">
        <v>713.625</v>
      </c>
      <c r="J184" s="71"/>
    </row>
    <row r="185" spans="1:11" ht="24" x14ac:dyDescent="0.25">
      <c r="A185" s="1">
        <v>25</v>
      </c>
      <c r="B185" s="74" t="s">
        <v>200</v>
      </c>
      <c r="C185" s="7" t="str">
        <f>"533-27-17-0016"</f>
        <v>533-27-17-0016</v>
      </c>
      <c r="D185" s="67">
        <v>42786</v>
      </c>
      <c r="E185" s="67">
        <v>43100</v>
      </c>
      <c r="F185" s="5">
        <v>9626.4</v>
      </c>
      <c r="G185" s="5">
        <v>12033</v>
      </c>
      <c r="H185" s="67">
        <v>42916</v>
      </c>
      <c r="I185" s="37">
        <v>0</v>
      </c>
      <c r="J185" s="71"/>
    </row>
    <row r="186" spans="1:11" ht="24" x14ac:dyDescent="0.25">
      <c r="A186" s="1">
        <v>26</v>
      </c>
      <c r="B186" s="74" t="s">
        <v>18</v>
      </c>
      <c r="C186" s="7" t="str">
        <f>"SNUG-202-17-002-4"</f>
        <v>SNUG-202-17-002-4</v>
      </c>
      <c r="D186" s="67">
        <v>42786</v>
      </c>
      <c r="E186" s="67">
        <v>42825</v>
      </c>
      <c r="F186" s="5">
        <v>138239.70000000001</v>
      </c>
      <c r="G186" s="5">
        <v>172799.63</v>
      </c>
      <c r="H186" s="67">
        <v>42825</v>
      </c>
      <c r="I186" s="37">
        <v>172799.625</v>
      </c>
      <c r="J186" s="71"/>
    </row>
    <row r="187" spans="1:11" ht="36" x14ac:dyDescent="0.25">
      <c r="A187" s="1">
        <v>27</v>
      </c>
      <c r="B187" s="74" t="s">
        <v>97</v>
      </c>
      <c r="C187" s="7" t="str">
        <f>"519-02-3-1/6-17-16"</f>
        <v>519-02-3-1/6-17-16</v>
      </c>
      <c r="D187" s="67">
        <v>42746</v>
      </c>
      <c r="E187" s="67">
        <v>42752</v>
      </c>
      <c r="F187" s="5">
        <v>356</v>
      </c>
      <c r="G187" s="5">
        <v>445</v>
      </c>
      <c r="H187" s="67">
        <v>42783</v>
      </c>
      <c r="I187" s="37">
        <v>445</v>
      </c>
      <c r="J187" s="72"/>
    </row>
    <row r="188" spans="1:11" ht="24" x14ac:dyDescent="0.25">
      <c r="A188" s="1">
        <v>28</v>
      </c>
      <c r="B188" s="74" t="s">
        <v>205</v>
      </c>
      <c r="C188" s="7" t="str">
        <f>"MRMS-POTR4-2017"</f>
        <v>MRMS-POTR4-2017</v>
      </c>
      <c r="D188" s="67">
        <v>42737</v>
      </c>
      <c r="E188" s="67">
        <v>43100</v>
      </c>
      <c r="F188" s="5">
        <v>10000</v>
      </c>
      <c r="G188" s="5">
        <v>12500</v>
      </c>
      <c r="H188" s="67">
        <v>43100</v>
      </c>
      <c r="I188" s="37">
        <v>2465.2000000000003</v>
      </c>
      <c r="J188" s="72"/>
    </row>
    <row r="189" spans="1:11" ht="24" x14ac:dyDescent="0.25">
      <c r="A189" s="1">
        <v>29</v>
      </c>
      <c r="B189" s="74" t="s">
        <v>279</v>
      </c>
      <c r="C189" s="7" t="str">
        <f>"13/2015-4"</f>
        <v>13/2015-4</v>
      </c>
      <c r="D189" s="67">
        <v>42736</v>
      </c>
      <c r="E189" s="67">
        <v>43281</v>
      </c>
      <c r="F189" s="5">
        <v>0</v>
      </c>
      <c r="G189" s="5">
        <v>0</v>
      </c>
      <c r="H189" s="67">
        <v>43100</v>
      </c>
      <c r="I189" s="37">
        <v>589.76250000000005</v>
      </c>
      <c r="J189" s="72"/>
    </row>
    <row r="190" spans="1:11" ht="36" x14ac:dyDescent="0.25">
      <c r="A190" s="1">
        <v>30</v>
      </c>
      <c r="B190" s="74" t="s">
        <v>208</v>
      </c>
      <c r="C190" s="7" t="str">
        <f>"NAR2017-POTROŠNI4"</f>
        <v>NAR2017-POTROŠNI4</v>
      </c>
      <c r="D190" s="67">
        <v>42736</v>
      </c>
      <c r="E190" s="67">
        <v>43008</v>
      </c>
      <c r="F190" s="5">
        <v>104146.93</v>
      </c>
      <c r="G190" s="5">
        <v>130183.66</v>
      </c>
      <c r="H190" s="67">
        <v>43008</v>
      </c>
      <c r="I190" s="37">
        <v>130183.66249999999</v>
      </c>
      <c r="J190" s="72"/>
      <c r="K190" s="48"/>
    </row>
    <row r="191" spans="1:11" ht="24" x14ac:dyDescent="0.25">
      <c r="A191" s="1">
        <v>31</v>
      </c>
      <c r="B191" s="74" t="s">
        <v>204</v>
      </c>
      <c r="C191" s="7" t="str">
        <f>"13/2015-16/126-1"</f>
        <v>13/2015-16/126-1</v>
      </c>
      <c r="D191" s="67">
        <v>42734</v>
      </c>
      <c r="E191" s="67">
        <v>43100</v>
      </c>
      <c r="F191" s="5">
        <v>13320</v>
      </c>
      <c r="G191" s="5">
        <v>16650</v>
      </c>
      <c r="H191" s="67">
        <v>43100</v>
      </c>
      <c r="I191" s="37">
        <v>14429.512500000001</v>
      </c>
      <c r="J191" s="72"/>
    </row>
    <row r="192" spans="1:11" ht="36" x14ac:dyDescent="0.25">
      <c r="A192" s="1">
        <v>32</v>
      </c>
      <c r="B192" s="74" t="s">
        <v>206</v>
      </c>
      <c r="C192" s="7" t="str">
        <f>"NARUDŽBENICE POTROŠNI GRUPA 4"</f>
        <v>NARUDŽBENICE POTROŠNI GRUPA 4</v>
      </c>
      <c r="D192" s="67">
        <v>42736</v>
      </c>
      <c r="E192" s="67">
        <v>43100</v>
      </c>
      <c r="F192" s="5">
        <v>800</v>
      </c>
      <c r="G192" s="5">
        <v>1000</v>
      </c>
      <c r="H192" s="67">
        <v>43100</v>
      </c>
      <c r="I192" s="37">
        <v>3156.9749999999999</v>
      </c>
      <c r="J192" s="72"/>
    </row>
    <row r="193" spans="1:10" ht="36" x14ac:dyDescent="0.25">
      <c r="A193" s="1">
        <v>33</v>
      </c>
      <c r="B193" s="74" t="s">
        <v>189</v>
      </c>
      <c r="C193" s="7" t="str">
        <f>"720/2016"</f>
        <v>720/2016</v>
      </c>
      <c r="D193" s="67">
        <v>42732</v>
      </c>
      <c r="E193" s="67">
        <v>42763</v>
      </c>
      <c r="F193" s="5">
        <v>1003</v>
      </c>
      <c r="G193" s="5">
        <v>1253.75</v>
      </c>
      <c r="H193" s="67">
        <v>42825</v>
      </c>
      <c r="I193" s="37">
        <v>1253.75</v>
      </c>
      <c r="J193" s="72"/>
    </row>
    <row r="194" spans="1:10" ht="24" x14ac:dyDescent="0.25">
      <c r="A194" s="1">
        <v>34</v>
      </c>
      <c r="B194" s="74" t="s">
        <v>196</v>
      </c>
      <c r="C194" s="7" t="str">
        <f>"NAR 13/2015-4"</f>
        <v>NAR 13/2015-4</v>
      </c>
      <c r="D194" s="67">
        <v>42621</v>
      </c>
      <c r="E194" s="67">
        <v>42985</v>
      </c>
      <c r="F194" s="5">
        <v>12855.9</v>
      </c>
      <c r="G194" s="5">
        <v>16069.88</v>
      </c>
      <c r="H194" s="67">
        <v>42985</v>
      </c>
      <c r="I194" s="55">
        <v>765.5</v>
      </c>
      <c r="J194" s="1"/>
    </row>
    <row r="195" spans="1:10" x14ac:dyDescent="0.25">
      <c r="A195" s="1">
        <v>35</v>
      </c>
      <c r="B195" s="74" t="s">
        <v>17</v>
      </c>
      <c r="C195" s="7" t="str">
        <f>"1-DUSJN/16-4"</f>
        <v>1-DUSJN/16-4</v>
      </c>
      <c r="D195" s="67">
        <v>42584</v>
      </c>
      <c r="E195" s="67">
        <v>43314</v>
      </c>
      <c r="F195" s="5">
        <v>29318.6</v>
      </c>
      <c r="G195" s="5">
        <v>36648.25</v>
      </c>
      <c r="H195" s="67">
        <v>43100</v>
      </c>
      <c r="I195" s="55">
        <v>49112.625</v>
      </c>
      <c r="J195" s="1"/>
    </row>
    <row r="196" spans="1:10" ht="24" x14ac:dyDescent="0.25">
      <c r="A196" s="1">
        <v>36</v>
      </c>
      <c r="B196" s="74" t="s">
        <v>193</v>
      </c>
      <c r="C196" s="7" t="str">
        <f>"10-5-16-3"</f>
        <v>10-5-16-3</v>
      </c>
      <c r="D196" s="67">
        <v>42625</v>
      </c>
      <c r="E196" s="67">
        <v>43264</v>
      </c>
      <c r="F196" s="5">
        <v>36000</v>
      </c>
      <c r="G196" s="5">
        <v>45000</v>
      </c>
      <c r="H196" s="67">
        <v>43100</v>
      </c>
      <c r="I196" s="55">
        <v>34648.387499999997</v>
      </c>
      <c r="J196" s="1"/>
    </row>
    <row r="197" spans="1:10" ht="24" x14ac:dyDescent="0.25">
      <c r="A197" s="1">
        <v>37</v>
      </c>
      <c r="B197" s="74" t="s">
        <v>194</v>
      </c>
      <c r="C197" s="7" t="str">
        <f>"34 /16"</f>
        <v>34 /16</v>
      </c>
      <c r="D197" s="67">
        <v>42571</v>
      </c>
      <c r="E197" s="67">
        <v>42936</v>
      </c>
      <c r="F197" s="5">
        <v>37520</v>
      </c>
      <c r="G197" s="5">
        <v>46900</v>
      </c>
      <c r="H197" s="67">
        <v>42936</v>
      </c>
      <c r="I197" s="55">
        <v>34723.012499999997</v>
      </c>
      <c r="J197" s="1"/>
    </row>
    <row r="198" spans="1:10" ht="24" x14ac:dyDescent="0.25">
      <c r="A198" s="1">
        <v>38</v>
      </c>
      <c r="B198" s="74" t="s">
        <v>185</v>
      </c>
      <c r="C198" s="7" t="str">
        <f>"13/2015-4 UGOVOR"</f>
        <v>13/2015-4 UGOVOR</v>
      </c>
      <c r="D198" s="67">
        <v>42563</v>
      </c>
      <c r="E198" s="67">
        <v>43264</v>
      </c>
      <c r="F198" s="5">
        <v>35094</v>
      </c>
      <c r="G198" s="5">
        <v>43867.5</v>
      </c>
      <c r="H198" s="67">
        <v>43100</v>
      </c>
      <c r="I198" s="55">
        <v>26289.125</v>
      </c>
      <c r="J198" s="1"/>
    </row>
    <row r="199" spans="1:10" x14ac:dyDescent="0.25">
      <c r="A199" s="1">
        <v>39</v>
      </c>
      <c r="B199" s="74" t="s">
        <v>198</v>
      </c>
      <c r="C199" s="7" t="str">
        <f>"P/14288216"</f>
        <v>P/14288216</v>
      </c>
      <c r="D199" s="67">
        <v>42562</v>
      </c>
      <c r="E199" s="67">
        <v>42927</v>
      </c>
      <c r="F199" s="5">
        <v>49566.5</v>
      </c>
      <c r="G199" s="5">
        <v>61958.13</v>
      </c>
      <c r="H199" s="67">
        <v>43008</v>
      </c>
      <c r="I199" s="55">
        <v>40423.875</v>
      </c>
      <c r="J199" s="1"/>
    </row>
    <row r="200" spans="1:10" ht="24" x14ac:dyDescent="0.25">
      <c r="A200" s="1">
        <v>40</v>
      </c>
      <c r="B200" s="74" t="s">
        <v>187</v>
      </c>
      <c r="C200" s="7" t="str">
        <f>"802/01-16/02OS-4-U1"</f>
        <v>802/01-16/02OS-4-U1</v>
      </c>
      <c r="D200" s="67">
        <v>42557</v>
      </c>
      <c r="E200" s="67">
        <v>42922</v>
      </c>
      <c r="F200" s="5">
        <v>997.42</v>
      </c>
      <c r="G200" s="5">
        <v>1246.78</v>
      </c>
      <c r="H200" s="67">
        <v>42916</v>
      </c>
      <c r="I200" s="55">
        <v>1282.9499999999998</v>
      </c>
      <c r="J200" s="1"/>
    </row>
    <row r="201" spans="1:10" ht="24" x14ac:dyDescent="0.25">
      <c r="A201" s="1">
        <v>41</v>
      </c>
      <c r="B201" s="74" t="s">
        <v>186</v>
      </c>
      <c r="C201" s="7" t="str">
        <f>"406-01/16-01/0117"</f>
        <v>406-01/16-01/0117</v>
      </c>
      <c r="D201" s="67">
        <v>42556</v>
      </c>
      <c r="E201" s="67">
        <v>42920</v>
      </c>
      <c r="F201" s="5">
        <v>26717</v>
      </c>
      <c r="G201" s="5">
        <v>33396.25</v>
      </c>
      <c r="H201" s="67">
        <v>42920</v>
      </c>
      <c r="I201" s="55">
        <v>20620.5625</v>
      </c>
      <c r="J201" s="1"/>
    </row>
    <row r="202" spans="1:10" x14ac:dyDescent="0.25">
      <c r="A202" s="1">
        <v>42</v>
      </c>
      <c r="B202" s="74" t="s">
        <v>16</v>
      </c>
      <c r="C202" s="7" t="str">
        <f>"39-2016"</f>
        <v>39-2016</v>
      </c>
      <c r="D202" s="67">
        <v>42534</v>
      </c>
      <c r="E202" s="67">
        <v>42917</v>
      </c>
      <c r="F202" s="5">
        <v>9844.2000000000007</v>
      </c>
      <c r="G202" s="5">
        <v>12305.25</v>
      </c>
      <c r="H202" s="67">
        <v>43008</v>
      </c>
      <c r="I202" s="55">
        <v>4512.2875000000004</v>
      </c>
      <c r="J202" s="1"/>
    </row>
    <row r="203" spans="1:10" ht="24" x14ac:dyDescent="0.25">
      <c r="A203" s="1">
        <v>43</v>
      </c>
      <c r="B203" s="74" t="s">
        <v>201</v>
      </c>
      <c r="C203" s="7" t="str">
        <f>"13/2015-4/2016"</f>
        <v>13/2015-4/2016</v>
      </c>
      <c r="D203" s="67">
        <v>42552</v>
      </c>
      <c r="E203" s="67">
        <v>42916</v>
      </c>
      <c r="F203" s="5">
        <v>37479.699999999997</v>
      </c>
      <c r="G203" s="5">
        <v>46849.63</v>
      </c>
      <c r="H203" s="67">
        <v>42916</v>
      </c>
      <c r="I203" s="55">
        <v>25673.924999999999</v>
      </c>
      <c r="J203" s="1"/>
    </row>
    <row r="204" spans="1:10" ht="36" x14ac:dyDescent="0.25">
      <c r="A204" s="1">
        <v>44</v>
      </c>
      <c r="B204" s="74" t="s">
        <v>189</v>
      </c>
      <c r="C204" s="7" t="str">
        <f>"372/2016"</f>
        <v>372/2016</v>
      </c>
      <c r="D204" s="67">
        <v>42570</v>
      </c>
      <c r="E204" s="67">
        <v>43264</v>
      </c>
      <c r="F204" s="5">
        <v>627</v>
      </c>
      <c r="G204" s="5">
        <v>783.75</v>
      </c>
      <c r="H204" s="67">
        <v>43100</v>
      </c>
      <c r="I204" s="55">
        <v>783.75</v>
      </c>
      <c r="J204" s="1"/>
    </row>
    <row r="205" spans="1:10" ht="24" x14ac:dyDescent="0.25">
      <c r="A205" s="1">
        <v>45</v>
      </c>
      <c r="B205" s="74" t="s">
        <v>209</v>
      </c>
      <c r="C205" s="7" t="str">
        <f>"920-07/16-13/13/GR4"</f>
        <v>920-07/16-13/13/GR4</v>
      </c>
      <c r="D205" s="67">
        <v>42562</v>
      </c>
      <c r="E205" s="67">
        <v>43264</v>
      </c>
      <c r="F205" s="5">
        <v>44940.5</v>
      </c>
      <c r="G205" s="5">
        <v>56175.63</v>
      </c>
      <c r="H205" s="67">
        <v>43100</v>
      </c>
      <c r="I205" s="55">
        <v>14140.375</v>
      </c>
      <c r="J205" s="1"/>
    </row>
    <row r="206" spans="1:10" x14ac:dyDescent="0.25">
      <c r="A206" s="1">
        <v>46</v>
      </c>
      <c r="B206" s="74" t="s">
        <v>212</v>
      </c>
      <c r="C206" s="7" t="str">
        <f>"13/2015- 4"</f>
        <v>13/2015- 4</v>
      </c>
      <c r="D206" s="67">
        <v>42534</v>
      </c>
      <c r="E206" s="67">
        <v>43264</v>
      </c>
      <c r="F206" s="5">
        <v>1056.3</v>
      </c>
      <c r="G206" s="5">
        <v>1320.38</v>
      </c>
      <c r="H206" s="67">
        <v>43100</v>
      </c>
      <c r="I206" s="55">
        <v>8360.375</v>
      </c>
      <c r="J206" s="1"/>
    </row>
    <row r="207" spans="1:10" ht="36" x14ac:dyDescent="0.25">
      <c r="A207" s="1">
        <v>47</v>
      </c>
      <c r="B207" s="74" t="s">
        <v>189</v>
      </c>
      <c r="C207" s="7" t="str">
        <f>"440/2016"</f>
        <v>440/2016</v>
      </c>
      <c r="D207" s="67">
        <v>42620</v>
      </c>
      <c r="E207" s="67">
        <v>43264</v>
      </c>
      <c r="F207" s="5">
        <v>1730.7</v>
      </c>
      <c r="G207" s="5">
        <v>2163.38</v>
      </c>
      <c r="H207" s="67">
        <v>43100</v>
      </c>
      <c r="I207" s="55">
        <v>2163.375</v>
      </c>
      <c r="J207" s="1"/>
    </row>
    <row r="208" spans="1:10" ht="24" x14ac:dyDescent="0.25">
      <c r="A208" s="1">
        <v>48</v>
      </c>
      <c r="B208" s="74" t="s">
        <v>199</v>
      </c>
      <c r="C208" s="7" t="str">
        <f>"13/2015-4-MB"</f>
        <v>13/2015-4-MB</v>
      </c>
      <c r="D208" s="67">
        <v>42534</v>
      </c>
      <c r="E208" s="67">
        <v>43264</v>
      </c>
      <c r="F208" s="5">
        <v>0</v>
      </c>
      <c r="G208" s="5">
        <v>0</v>
      </c>
      <c r="H208" s="67">
        <v>43100</v>
      </c>
      <c r="I208" s="55">
        <v>25943.262500000001</v>
      </c>
      <c r="J208" s="1"/>
    </row>
    <row r="209" spans="1:10" ht="24" x14ac:dyDescent="0.25">
      <c r="A209" s="1">
        <v>49</v>
      </c>
      <c r="B209" s="74" t="s">
        <v>211</v>
      </c>
      <c r="C209" s="7" t="str">
        <f>"13-2015-4"</f>
        <v>13-2015-4</v>
      </c>
      <c r="D209" s="67">
        <v>42534</v>
      </c>
      <c r="E209" s="67">
        <v>43264</v>
      </c>
      <c r="F209" s="5">
        <v>1000</v>
      </c>
      <c r="G209" s="5">
        <v>1250</v>
      </c>
      <c r="H209" s="67">
        <v>43100</v>
      </c>
      <c r="I209" s="55">
        <v>219.125</v>
      </c>
      <c r="J209" s="1"/>
    </row>
    <row r="211" spans="1:10" x14ac:dyDescent="0.25">
      <c r="B211" s="174" t="s">
        <v>2028</v>
      </c>
      <c r="C211" s="174"/>
      <c r="D211" s="174"/>
      <c r="E211" s="174"/>
      <c r="F211" s="174"/>
      <c r="G211" s="174"/>
      <c r="H211" s="174"/>
      <c r="I211" s="174"/>
      <c r="J211" s="174"/>
    </row>
  </sheetData>
  <sheetProtection algorithmName="SHA-512" hashValue="0QCHq6U05h4WwXOrP3GBa0T0g6sFqN5ww/DRfazeCB0yOBdKpVXnx1QSJ8NIT49cGMftg3sJOdVIztiJ7wDafw==" saltValue="H8f7v3ZwtwDAyGDiyxq1eQ==" spinCount="100000" sheet="1" objects="1" scenarios="1"/>
  <mergeCells count="25">
    <mergeCell ref="A6:J6"/>
    <mergeCell ref="A1:N1"/>
    <mergeCell ref="D2:E2"/>
    <mergeCell ref="D3:E3"/>
    <mergeCell ref="N3:N4"/>
    <mergeCell ref="A4:L4"/>
    <mergeCell ref="A60:N60"/>
    <mergeCell ref="D61:E61"/>
    <mergeCell ref="D62:E62"/>
    <mergeCell ref="N62:N63"/>
    <mergeCell ref="A63:L63"/>
    <mergeCell ref="A65:J65"/>
    <mergeCell ref="A98:N98"/>
    <mergeCell ref="D99:E99"/>
    <mergeCell ref="D100:E100"/>
    <mergeCell ref="N100:N101"/>
    <mergeCell ref="A101:L101"/>
    <mergeCell ref="B211:J211"/>
    <mergeCell ref="A159:J159"/>
    <mergeCell ref="A103:J103"/>
    <mergeCell ref="A154:N154"/>
    <mergeCell ref="D155:E155"/>
    <mergeCell ref="D156:E156"/>
    <mergeCell ref="N156:N157"/>
    <mergeCell ref="A157:L157"/>
  </mergeCells>
  <pageMargins left="0.23622047244094491" right="0.23622047244094491" top="0.98425196850393704" bottom="0.59055118110236227" header="0.31496062992125984" footer="0.31496062992125984"/>
  <pageSetup scale="69" fitToHeight="0" orientation="landscape" r:id="rId1"/>
  <headerFooter>
    <oddHeader>&amp;L&amp;G&amp;CRegistar okvirnih sporazuma i ugovora za 2016. godinu 
za predmete nabave iz nadležnosti Središnjeg državnog ureda za središnju javnu nabavu</oddHeader>
    <oddFooter>&amp;L&amp;D&amp;C &amp;A&amp;R&amp;P/&amp;N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N199"/>
  <sheetViews>
    <sheetView view="pageLayout" zoomScaleNormal="100" workbookViewId="0">
      <selection sqref="A1:N1"/>
    </sheetView>
  </sheetViews>
  <sheetFormatPr defaultRowHeight="15" x14ac:dyDescent="0.25"/>
  <cols>
    <col min="1" max="1" width="4.85546875" customWidth="1"/>
    <col min="2" max="2" width="26.140625" customWidth="1"/>
    <col min="3" max="3" width="12" customWidth="1"/>
    <col min="4" max="4" width="13.42578125" customWidth="1"/>
    <col min="5" max="5" width="14" customWidth="1"/>
    <col min="6" max="6" width="15.28515625" customWidth="1"/>
    <col min="7" max="10" width="13.5703125" customWidth="1"/>
    <col min="11" max="13" width="14.28515625" customWidth="1"/>
    <col min="14" max="14" width="11.42578125" customWidth="1"/>
    <col min="15" max="15" width="10.140625" bestFit="1" customWidth="1"/>
  </cols>
  <sheetData>
    <row r="1" spans="1:14" x14ac:dyDescent="0.25">
      <c r="A1" s="175" t="s">
        <v>45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36" x14ac:dyDescent="0.25">
      <c r="A2" s="53" t="s">
        <v>0</v>
      </c>
      <c r="B2" s="54" t="s">
        <v>1</v>
      </c>
      <c r="C2" s="54" t="s">
        <v>3</v>
      </c>
      <c r="D2" s="178" t="s">
        <v>171</v>
      </c>
      <c r="E2" s="178"/>
      <c r="F2" s="54" t="s">
        <v>166</v>
      </c>
      <c r="G2" s="54" t="s">
        <v>170</v>
      </c>
      <c r="H2" s="54" t="s">
        <v>167</v>
      </c>
      <c r="I2" s="54" t="s">
        <v>4</v>
      </c>
      <c r="J2" s="54" t="s">
        <v>5</v>
      </c>
      <c r="K2" s="54" t="s">
        <v>2</v>
      </c>
      <c r="L2" s="54" t="s">
        <v>172</v>
      </c>
      <c r="M2" s="54" t="s">
        <v>173</v>
      </c>
      <c r="N2" s="54" t="s">
        <v>169</v>
      </c>
    </row>
    <row r="3" spans="1:14" ht="36" x14ac:dyDescent="0.25">
      <c r="A3" s="1">
        <v>1</v>
      </c>
      <c r="B3" s="13" t="s">
        <v>55</v>
      </c>
      <c r="C3" s="14" t="s">
        <v>46</v>
      </c>
      <c r="D3" s="187" t="s">
        <v>1022</v>
      </c>
      <c r="E3" s="188"/>
      <c r="F3" s="1" t="s">
        <v>70</v>
      </c>
      <c r="G3" s="1">
        <v>34100000</v>
      </c>
      <c r="H3" s="1" t="s">
        <v>15</v>
      </c>
      <c r="I3" s="15">
        <v>41806</v>
      </c>
      <c r="J3" s="1" t="s">
        <v>56</v>
      </c>
      <c r="K3" s="19">
        <v>1903350</v>
      </c>
      <c r="L3" s="19">
        <f>K3*0.25</f>
        <v>475837.5</v>
      </c>
      <c r="M3" s="19">
        <f>K3+L3</f>
        <v>2379187.5</v>
      </c>
      <c r="N3" s="176"/>
    </row>
    <row r="4" spans="1:14" ht="15" customHeight="1" x14ac:dyDescent="0.25">
      <c r="A4" s="177" t="s">
        <v>1012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9">
        <v>1039878.41</v>
      </c>
      <c r="N4" s="176"/>
    </row>
    <row r="5" spans="1:14" ht="7.5" customHeight="1" x14ac:dyDescent="0.25">
      <c r="L5" s="47"/>
    </row>
    <row r="6" spans="1:14" ht="15" customHeight="1" x14ac:dyDescent="0.25">
      <c r="A6" s="175" t="s">
        <v>12</v>
      </c>
      <c r="B6" s="175"/>
      <c r="C6" s="175"/>
      <c r="D6" s="175"/>
      <c r="E6" s="175"/>
      <c r="F6" s="175"/>
      <c r="G6" s="175"/>
      <c r="H6" s="175"/>
      <c r="I6" s="175"/>
      <c r="J6" s="175"/>
      <c r="K6" s="49"/>
      <c r="L6" s="49"/>
    </row>
    <row r="7" spans="1:14" ht="48" customHeight="1" x14ac:dyDescent="0.25">
      <c r="A7" s="2" t="s">
        <v>0</v>
      </c>
      <c r="B7" s="3" t="s">
        <v>7</v>
      </c>
      <c r="C7" s="3" t="s">
        <v>6</v>
      </c>
      <c r="D7" s="3" t="s">
        <v>8</v>
      </c>
      <c r="E7" s="3" t="s">
        <v>168</v>
      </c>
      <c r="F7" s="3" t="s">
        <v>174</v>
      </c>
      <c r="G7" s="3" t="s">
        <v>175</v>
      </c>
      <c r="H7" s="3" t="s">
        <v>9</v>
      </c>
      <c r="I7" s="3" t="s">
        <v>176</v>
      </c>
      <c r="J7" s="3" t="s">
        <v>10</v>
      </c>
      <c r="L7" s="48"/>
      <c r="M7" s="48"/>
    </row>
    <row r="8" spans="1:14" s="12" customFormat="1" ht="24" x14ac:dyDescent="0.25">
      <c r="A8" s="1">
        <v>1</v>
      </c>
      <c r="B8" s="60" t="s">
        <v>209</v>
      </c>
      <c r="C8" s="10" t="str">
        <f>"DHMZ-14/2013-2KOM"</f>
        <v>DHMZ-14/2013-2KOM</v>
      </c>
      <c r="D8" s="56">
        <v>41939</v>
      </c>
      <c r="E8" s="56">
        <v>43765</v>
      </c>
      <c r="F8" s="8">
        <v>765954</v>
      </c>
      <c r="G8" s="8">
        <v>957442.5</v>
      </c>
      <c r="H8" s="56">
        <v>43100</v>
      </c>
      <c r="I8" s="24">
        <v>402037.51250000001</v>
      </c>
      <c r="J8" s="70"/>
      <c r="K8"/>
      <c r="N8" s="159"/>
    </row>
    <row r="9" spans="1:14" s="12" customFormat="1" ht="24" x14ac:dyDescent="0.25">
      <c r="A9" s="1">
        <v>2</v>
      </c>
      <c r="B9" s="60" t="s">
        <v>199</v>
      </c>
      <c r="C9" s="10" t="str">
        <f>"MB-14/2013-1KOM"</f>
        <v>MB-14/2013-1KOM</v>
      </c>
      <c r="D9" s="56">
        <v>41936</v>
      </c>
      <c r="E9" s="56">
        <v>43762</v>
      </c>
      <c r="F9" s="8">
        <v>423612</v>
      </c>
      <c r="G9" s="8">
        <v>529515</v>
      </c>
      <c r="H9" s="75">
        <v>43100</v>
      </c>
      <c r="I9" s="61">
        <v>242644.66250000001</v>
      </c>
      <c r="J9" s="76"/>
      <c r="K9"/>
      <c r="N9" s="159"/>
    </row>
    <row r="10" spans="1:14" s="12" customFormat="1" ht="24" x14ac:dyDescent="0.25">
      <c r="A10" s="1">
        <v>3</v>
      </c>
      <c r="B10" s="60" t="s">
        <v>186</v>
      </c>
      <c r="C10" s="10" t="str">
        <f>"MK-14/2013-6KOM"</f>
        <v>MK-14/2013-6KOM</v>
      </c>
      <c r="D10" s="56">
        <v>41900</v>
      </c>
      <c r="E10" s="56">
        <v>43726</v>
      </c>
      <c r="F10" s="8">
        <v>688743</v>
      </c>
      <c r="G10" s="8">
        <v>860928.75</v>
      </c>
      <c r="H10" s="67">
        <v>42735</v>
      </c>
      <c r="I10" s="37">
        <v>395196.23749999999</v>
      </c>
      <c r="J10" s="71"/>
      <c r="K10"/>
      <c r="N10" s="159"/>
    </row>
    <row r="11" spans="1:14" ht="7.5" customHeight="1" x14ac:dyDescent="0.25"/>
    <row r="12" spans="1:14" x14ac:dyDescent="0.25">
      <c r="A12" s="175" t="s">
        <v>45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</row>
    <row r="13" spans="1:14" ht="36" x14ac:dyDescent="0.25">
      <c r="A13" s="53" t="s">
        <v>0</v>
      </c>
      <c r="B13" s="54" t="s">
        <v>1</v>
      </c>
      <c r="C13" s="54" t="s">
        <v>3</v>
      </c>
      <c r="D13" s="178" t="s">
        <v>171</v>
      </c>
      <c r="E13" s="178"/>
      <c r="F13" s="54" t="s">
        <v>166</v>
      </c>
      <c r="G13" s="54" t="s">
        <v>170</v>
      </c>
      <c r="H13" s="54" t="s">
        <v>167</v>
      </c>
      <c r="I13" s="54" t="s">
        <v>4</v>
      </c>
      <c r="J13" s="54" t="s">
        <v>5</v>
      </c>
      <c r="K13" s="54" t="s">
        <v>2</v>
      </c>
      <c r="L13" s="54" t="s">
        <v>172</v>
      </c>
      <c r="M13" s="54" t="s">
        <v>173</v>
      </c>
      <c r="N13" s="54" t="s">
        <v>169</v>
      </c>
    </row>
    <row r="14" spans="1:14" ht="36" x14ac:dyDescent="0.25">
      <c r="A14" s="1">
        <v>1</v>
      </c>
      <c r="B14" s="13" t="s">
        <v>55</v>
      </c>
      <c r="C14" s="14" t="s">
        <v>47</v>
      </c>
      <c r="D14" s="187" t="s">
        <v>1023</v>
      </c>
      <c r="E14" s="188"/>
      <c r="F14" s="1" t="s">
        <v>68</v>
      </c>
      <c r="G14" s="1">
        <v>34100000</v>
      </c>
      <c r="H14" s="1" t="s">
        <v>15</v>
      </c>
      <c r="I14" s="15">
        <v>41603</v>
      </c>
      <c r="J14" s="1" t="s">
        <v>57</v>
      </c>
      <c r="K14" s="8">
        <v>49079052</v>
      </c>
      <c r="L14" s="8">
        <f>K14*0.25</f>
        <v>12269763</v>
      </c>
      <c r="M14" s="8">
        <f>K14+L14</f>
        <v>61348815</v>
      </c>
      <c r="N14" s="176"/>
    </row>
    <row r="15" spans="1:14" ht="15" customHeight="1" x14ac:dyDescent="0.25">
      <c r="A15" s="177" t="s">
        <v>1012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8">
        <v>34711134.789999999</v>
      </c>
      <c r="N15" s="176"/>
    </row>
    <row r="16" spans="1:14" ht="7.5" customHeight="1" x14ac:dyDescent="0.25">
      <c r="L16" s="47"/>
    </row>
    <row r="17" spans="1:13" ht="15" customHeight="1" x14ac:dyDescent="0.25">
      <c r="A17" s="175" t="s">
        <v>12</v>
      </c>
      <c r="B17" s="175"/>
      <c r="C17" s="175"/>
      <c r="D17" s="175"/>
      <c r="E17" s="175"/>
      <c r="F17" s="175"/>
      <c r="G17" s="175"/>
      <c r="H17" s="175"/>
      <c r="I17" s="175"/>
      <c r="J17" s="175"/>
      <c r="K17" s="49"/>
      <c r="L17" s="49"/>
    </row>
    <row r="18" spans="1:13" ht="48" customHeight="1" x14ac:dyDescent="0.25">
      <c r="A18" s="2" t="s">
        <v>0</v>
      </c>
      <c r="B18" s="3" t="s">
        <v>7</v>
      </c>
      <c r="C18" s="3" t="s">
        <v>6</v>
      </c>
      <c r="D18" s="3" t="s">
        <v>8</v>
      </c>
      <c r="E18" s="3" t="s">
        <v>168</v>
      </c>
      <c r="F18" s="3" t="s">
        <v>174</v>
      </c>
      <c r="G18" s="3" t="s">
        <v>175</v>
      </c>
      <c r="H18" s="3" t="s">
        <v>9</v>
      </c>
      <c r="I18" s="3" t="s">
        <v>176</v>
      </c>
      <c r="J18" s="3" t="s">
        <v>10</v>
      </c>
      <c r="L18" s="48"/>
      <c r="M18" s="48"/>
    </row>
    <row r="19" spans="1:13" ht="24" x14ac:dyDescent="0.25">
      <c r="A19" s="1">
        <v>1</v>
      </c>
      <c r="B19" s="60" t="s">
        <v>465</v>
      </c>
      <c r="C19" s="10" t="str">
        <f>"56085"</f>
        <v>56085</v>
      </c>
      <c r="D19" s="56">
        <v>42438</v>
      </c>
      <c r="E19" s="59"/>
      <c r="F19" s="8">
        <v>179937</v>
      </c>
      <c r="G19" s="8">
        <v>224921.25</v>
      </c>
      <c r="H19" s="56">
        <v>42735</v>
      </c>
      <c r="I19" s="24">
        <v>50515.162499999999</v>
      </c>
      <c r="J19" s="77"/>
      <c r="L19" s="112"/>
      <c r="M19" s="112"/>
    </row>
    <row r="20" spans="1:13" ht="36" x14ac:dyDescent="0.25">
      <c r="A20" s="1">
        <v>2</v>
      </c>
      <c r="B20" s="60" t="s">
        <v>198</v>
      </c>
      <c r="C20" s="10" t="str">
        <f>"MFIN-CU-2/2013-1-20KOM"</f>
        <v>MFIN-CU-2/2013-1-20KOM</v>
      </c>
      <c r="D20" s="56">
        <v>41971</v>
      </c>
      <c r="E20" s="56">
        <v>43797</v>
      </c>
      <c r="F20" s="8">
        <v>1929607</v>
      </c>
      <c r="G20" s="8">
        <v>2412008.75</v>
      </c>
      <c r="H20" s="56">
        <v>43100</v>
      </c>
      <c r="I20" s="24">
        <v>928402.88750000007</v>
      </c>
      <c r="J20" s="77"/>
      <c r="L20" s="112"/>
      <c r="M20" s="112"/>
    </row>
    <row r="21" spans="1:13" ht="24" x14ac:dyDescent="0.25">
      <c r="A21" s="1">
        <v>3</v>
      </c>
      <c r="B21" s="60" t="s">
        <v>205</v>
      </c>
      <c r="C21" s="10" t="str">
        <f>"MRMS-2/2013-1-26KOM"</f>
        <v>MRMS-2/2013-1-26KOM</v>
      </c>
      <c r="D21" s="56">
        <v>41962</v>
      </c>
      <c r="E21" s="56">
        <v>43788</v>
      </c>
      <c r="F21" s="8">
        <v>2519226</v>
      </c>
      <c r="G21" s="8">
        <v>3149032.5</v>
      </c>
      <c r="H21" s="56">
        <v>43100</v>
      </c>
      <c r="I21" s="24">
        <v>2047974.6375</v>
      </c>
      <c r="J21" s="77"/>
      <c r="L21" s="112"/>
      <c r="M21" s="112"/>
    </row>
    <row r="22" spans="1:13" ht="24" x14ac:dyDescent="0.25">
      <c r="A22" s="1">
        <v>4</v>
      </c>
      <c r="B22" s="60" t="s">
        <v>466</v>
      </c>
      <c r="C22" s="10" t="str">
        <f>"MPS-2/2013-1-11KOM"</f>
        <v>MPS-2/2013-1-11KOM</v>
      </c>
      <c r="D22" s="56">
        <v>41901</v>
      </c>
      <c r="E22" s="56">
        <v>43727</v>
      </c>
      <c r="F22" s="8">
        <v>1769013</v>
      </c>
      <c r="G22" s="8">
        <v>2211266.25</v>
      </c>
      <c r="H22" s="56">
        <v>42369</v>
      </c>
      <c r="I22" s="24">
        <v>477430.82499999995</v>
      </c>
      <c r="J22" s="77"/>
      <c r="L22" s="112"/>
      <c r="M22" s="112"/>
    </row>
    <row r="23" spans="1:13" ht="36" x14ac:dyDescent="0.25">
      <c r="A23" s="1">
        <v>5</v>
      </c>
      <c r="B23" s="60" t="s">
        <v>188</v>
      </c>
      <c r="C23" s="10" t="str">
        <f>"DUHIRH-2/2013-1-3KOM"</f>
        <v>DUHIRH-2/2013-1-3KOM</v>
      </c>
      <c r="D23" s="56">
        <v>41817</v>
      </c>
      <c r="E23" s="56">
        <v>43769</v>
      </c>
      <c r="F23" s="8">
        <v>565749</v>
      </c>
      <c r="G23" s="8">
        <v>707186.25</v>
      </c>
      <c r="H23" s="56">
        <v>43100</v>
      </c>
      <c r="I23" s="24">
        <v>417160.33750000002</v>
      </c>
      <c r="J23" s="77"/>
      <c r="L23" s="112"/>
      <c r="M23" s="112"/>
    </row>
    <row r="24" spans="1:13" ht="24" x14ac:dyDescent="0.25">
      <c r="A24" s="1">
        <v>6</v>
      </c>
      <c r="B24" s="60" t="s">
        <v>190</v>
      </c>
      <c r="C24" s="10" t="str">
        <f>"DUUDI-2/2013-1-2KOM"</f>
        <v>DUUDI-2/2013-1-2KOM</v>
      </c>
      <c r="D24" s="56">
        <v>41813</v>
      </c>
      <c r="E24" s="56">
        <v>43639</v>
      </c>
      <c r="F24" s="8">
        <v>164646</v>
      </c>
      <c r="G24" s="8">
        <v>205807.5</v>
      </c>
      <c r="H24" s="56">
        <v>43100</v>
      </c>
      <c r="I24" s="24">
        <v>126550.9</v>
      </c>
      <c r="J24" s="77"/>
      <c r="L24" s="112"/>
      <c r="M24" s="112"/>
    </row>
    <row r="25" spans="1:13" ht="24" x14ac:dyDescent="0.25">
      <c r="A25" s="1">
        <v>7</v>
      </c>
      <c r="B25" s="60" t="s">
        <v>467</v>
      </c>
      <c r="C25" s="10" t="str">
        <f>"REGOS-2/2013-1-1KOM"</f>
        <v>REGOS-2/2013-1-1KOM</v>
      </c>
      <c r="D25" s="56">
        <v>41794</v>
      </c>
      <c r="E25" s="56">
        <v>43620</v>
      </c>
      <c r="F25" s="8">
        <v>82773</v>
      </c>
      <c r="G25" s="8">
        <v>103466.25</v>
      </c>
      <c r="H25" s="56">
        <v>43100</v>
      </c>
      <c r="I25" s="24">
        <v>72280.649999999994</v>
      </c>
      <c r="J25" s="77"/>
      <c r="L25" s="112"/>
      <c r="M25" s="112"/>
    </row>
    <row r="26" spans="1:13" ht="60" x14ac:dyDescent="0.25">
      <c r="A26" s="1">
        <v>8</v>
      </c>
      <c r="B26" s="60" t="s">
        <v>468</v>
      </c>
      <c r="C26" s="10" t="str">
        <f>"ZVPR-2/2013-1-1KOM"</f>
        <v>ZVPR-2/2013-1-1KOM</v>
      </c>
      <c r="D26" s="56">
        <v>41792</v>
      </c>
      <c r="E26" s="56">
        <v>43618</v>
      </c>
      <c r="F26" s="8">
        <v>98316</v>
      </c>
      <c r="G26" s="8">
        <v>122895</v>
      </c>
      <c r="H26" s="56">
        <v>43100</v>
      </c>
      <c r="I26" s="24">
        <v>98403.5</v>
      </c>
      <c r="J26" s="77"/>
      <c r="L26" s="112"/>
      <c r="M26" s="112"/>
    </row>
    <row r="27" spans="1:13" ht="24" x14ac:dyDescent="0.25">
      <c r="A27" s="1">
        <v>9</v>
      </c>
      <c r="B27" s="60" t="s">
        <v>469</v>
      </c>
      <c r="C27" s="10" t="str">
        <f>"HZZO-2/2013-1-16KOM"</f>
        <v>HZZO-2/2013-1-16KOM</v>
      </c>
      <c r="D27" s="56">
        <v>41757</v>
      </c>
      <c r="E27" s="56">
        <v>43583</v>
      </c>
      <c r="F27" s="8">
        <v>1471248</v>
      </c>
      <c r="G27" s="8">
        <v>1839060</v>
      </c>
      <c r="H27" s="56">
        <v>42369</v>
      </c>
      <c r="I27" s="24">
        <v>462762.23749999999</v>
      </c>
      <c r="J27" s="77"/>
      <c r="L27" s="112"/>
      <c r="M27" s="112"/>
    </row>
    <row r="28" spans="1:13" ht="24" x14ac:dyDescent="0.25">
      <c r="A28" s="1">
        <v>10</v>
      </c>
      <c r="B28" s="60" t="s">
        <v>194</v>
      </c>
      <c r="C28" s="10" t="str">
        <f>"MVEP-2/2013-1-15KOM"</f>
        <v>MVEP-2/2013-1-15KOM</v>
      </c>
      <c r="D28" s="56">
        <v>41751</v>
      </c>
      <c r="E28" s="56">
        <v>43577</v>
      </c>
      <c r="F28" s="8">
        <v>2063749.5</v>
      </c>
      <c r="G28" s="8">
        <v>2579686.88</v>
      </c>
      <c r="H28" s="56">
        <v>43100</v>
      </c>
      <c r="I28" s="24">
        <v>2708612.6124999998</v>
      </c>
      <c r="J28" s="77"/>
      <c r="L28" s="112"/>
      <c r="M28" s="112"/>
    </row>
    <row r="29" spans="1:13" ht="36" x14ac:dyDescent="0.25">
      <c r="A29" s="1">
        <v>11</v>
      </c>
      <c r="B29" s="60" t="s">
        <v>189</v>
      </c>
      <c r="C29" s="10" t="str">
        <f>"MRRFEU-2/2013-1-16KOM"</f>
        <v>MRRFEU-2/2013-1-16KOM</v>
      </c>
      <c r="D29" s="56">
        <v>41746</v>
      </c>
      <c r="E29" s="56">
        <v>43572</v>
      </c>
      <c r="F29" s="8">
        <v>2219989.5</v>
      </c>
      <c r="G29" s="8">
        <v>2774986.88</v>
      </c>
      <c r="H29" s="56">
        <v>43100</v>
      </c>
      <c r="I29" s="24">
        <v>1548443.65</v>
      </c>
      <c r="J29" s="77"/>
      <c r="L29" s="112"/>
      <c r="M29" s="112"/>
    </row>
    <row r="30" spans="1:13" ht="36" x14ac:dyDescent="0.25">
      <c r="A30" s="1">
        <v>12</v>
      </c>
      <c r="B30" s="60" t="s">
        <v>210</v>
      </c>
      <c r="C30" s="10" t="str">
        <f>"MFIN-PU-2/2013-1-80KOM"</f>
        <v>MFIN-PU-2/2013-1-80KOM</v>
      </c>
      <c r="D30" s="56">
        <v>41736</v>
      </c>
      <c r="E30" s="56">
        <v>43562</v>
      </c>
      <c r="F30" s="8">
        <v>5306700</v>
      </c>
      <c r="G30" s="8">
        <v>6633375</v>
      </c>
      <c r="H30" s="56">
        <v>42735</v>
      </c>
      <c r="I30" s="24">
        <v>3594212.9749999996</v>
      </c>
      <c r="J30" s="77"/>
      <c r="L30" s="112"/>
      <c r="M30" s="112"/>
    </row>
    <row r="31" spans="1:13" ht="24" x14ac:dyDescent="0.25">
      <c r="A31" s="1">
        <v>13</v>
      </c>
      <c r="B31" s="60" t="s">
        <v>186</v>
      </c>
      <c r="C31" s="10" t="str">
        <f>"MK-2/2013-1-9KOM"</f>
        <v>MK-2/2013-1-9KOM</v>
      </c>
      <c r="D31" s="56">
        <v>41736</v>
      </c>
      <c r="E31" s="56">
        <v>43562</v>
      </c>
      <c r="F31" s="8">
        <v>1092042</v>
      </c>
      <c r="G31" s="8">
        <v>1365052.5</v>
      </c>
      <c r="H31" s="56">
        <v>42735</v>
      </c>
      <c r="I31" s="24">
        <v>713966.625</v>
      </c>
      <c r="J31" s="77"/>
      <c r="L31" s="112"/>
      <c r="M31" s="112"/>
    </row>
    <row r="32" spans="1:13" ht="24" x14ac:dyDescent="0.25">
      <c r="A32" s="1">
        <v>14</v>
      </c>
      <c r="B32" s="60" t="s">
        <v>199</v>
      </c>
      <c r="C32" s="10" t="str">
        <f>"MB-2/2013-1-4KOM"</f>
        <v>MB-2/2013-1-4KOM</v>
      </c>
      <c r="D32" s="56">
        <v>41732</v>
      </c>
      <c r="E32" s="56">
        <v>43558</v>
      </c>
      <c r="F32" s="8">
        <v>1204618.5</v>
      </c>
      <c r="G32" s="8">
        <v>1505773.13</v>
      </c>
      <c r="H32" s="56">
        <v>43100</v>
      </c>
      <c r="I32" s="24">
        <v>646549.6</v>
      </c>
      <c r="J32" s="77"/>
      <c r="L32" s="112"/>
      <c r="M32" s="112"/>
    </row>
    <row r="33" spans="1:13" ht="24" x14ac:dyDescent="0.25">
      <c r="A33" s="1">
        <v>15</v>
      </c>
      <c r="B33" s="60" t="s">
        <v>200</v>
      </c>
      <c r="C33" s="10" t="str">
        <f>"MZOS-2/2013-1-7KOM"</f>
        <v>MZOS-2/2013-1-7KOM</v>
      </c>
      <c r="D33" s="56">
        <v>41731</v>
      </c>
      <c r="E33" s="56">
        <v>43557</v>
      </c>
      <c r="F33" s="8">
        <v>1260396</v>
      </c>
      <c r="G33" s="8">
        <v>1575495</v>
      </c>
      <c r="H33" s="56">
        <v>42369</v>
      </c>
      <c r="I33" s="24">
        <v>313893.42499999999</v>
      </c>
      <c r="J33" s="77"/>
      <c r="L33" s="112"/>
      <c r="M33" s="112"/>
    </row>
    <row r="34" spans="1:13" ht="24" x14ac:dyDescent="0.25">
      <c r="A34" s="1">
        <v>16</v>
      </c>
      <c r="B34" s="60" t="s">
        <v>187</v>
      </c>
      <c r="C34" s="10" t="str">
        <f>"MZOP-2/2013-1-14KOM"</f>
        <v>MZOP-2/2013-1-14KOM</v>
      </c>
      <c r="D34" s="56">
        <v>41730</v>
      </c>
      <c r="E34" s="56">
        <v>43556</v>
      </c>
      <c r="F34" s="8">
        <v>1402011</v>
      </c>
      <c r="G34" s="8">
        <v>1752513.75</v>
      </c>
      <c r="H34" s="56">
        <v>42735</v>
      </c>
      <c r="I34" s="24">
        <v>699099.52500000002</v>
      </c>
      <c r="J34" s="77"/>
      <c r="L34" s="112"/>
      <c r="M34" s="112"/>
    </row>
    <row r="35" spans="1:13" ht="24" x14ac:dyDescent="0.25">
      <c r="A35" s="1">
        <v>17</v>
      </c>
      <c r="B35" s="60" t="s">
        <v>185</v>
      </c>
      <c r="C35" s="10" t="str">
        <f>"MIZ-2/2013-1-24KOM"</f>
        <v>MIZ-2/2013-1-24KOM</v>
      </c>
      <c r="D35" s="56">
        <v>41729</v>
      </c>
      <c r="E35" s="56">
        <v>43555</v>
      </c>
      <c r="F35" s="8">
        <v>2572051.5</v>
      </c>
      <c r="G35" s="8">
        <v>3215064.38</v>
      </c>
      <c r="H35" s="56">
        <v>43100</v>
      </c>
      <c r="I35" s="24">
        <v>3035655.1124999998</v>
      </c>
      <c r="J35" s="77"/>
      <c r="L35" s="112"/>
      <c r="M35" s="112"/>
    </row>
    <row r="36" spans="1:13" ht="36" x14ac:dyDescent="0.25">
      <c r="A36" s="1">
        <v>18</v>
      </c>
      <c r="B36" s="60" t="s">
        <v>17</v>
      </c>
      <c r="C36" s="10" t="str">
        <f>"MPRAVO-2/2013-1-69KOM"</f>
        <v>MPRAVO-2/2013-1-69KOM</v>
      </c>
      <c r="D36" s="56">
        <v>41726</v>
      </c>
      <c r="E36" s="56">
        <v>43552</v>
      </c>
      <c r="F36" s="8">
        <v>8300457</v>
      </c>
      <c r="G36" s="8">
        <v>10375571.25</v>
      </c>
      <c r="H36" s="56">
        <v>43100</v>
      </c>
      <c r="I36" s="24">
        <v>7454908.7375000007</v>
      </c>
      <c r="J36" s="77"/>
      <c r="L36" s="112"/>
      <c r="M36" s="112"/>
    </row>
    <row r="37" spans="1:13" ht="48" x14ac:dyDescent="0.25">
      <c r="A37" s="1">
        <v>19</v>
      </c>
      <c r="B37" s="60" t="s">
        <v>470</v>
      </c>
      <c r="C37" s="10" t="str">
        <f>"AZIN-2/2013-1-2KOM"</f>
        <v>AZIN-2/2013-1-2KOM</v>
      </c>
      <c r="D37" s="56">
        <v>41725</v>
      </c>
      <c r="E37" s="56">
        <v>43551</v>
      </c>
      <c r="F37" s="8">
        <v>277029</v>
      </c>
      <c r="G37" s="8">
        <v>346286.25</v>
      </c>
      <c r="H37" s="56">
        <v>43100</v>
      </c>
      <c r="I37" s="24">
        <v>251195.97500000001</v>
      </c>
      <c r="J37" s="77"/>
      <c r="L37" s="112"/>
      <c r="M37" s="112"/>
    </row>
    <row r="38" spans="1:13" ht="24" x14ac:dyDescent="0.25">
      <c r="A38" s="1">
        <v>20</v>
      </c>
      <c r="B38" s="60" t="s">
        <v>212</v>
      </c>
      <c r="C38" s="10" t="str">
        <f>"MINT-2/2013-1-9KOM"</f>
        <v>MINT-2/2013-1-9KOM</v>
      </c>
      <c r="D38" s="56">
        <v>41724</v>
      </c>
      <c r="E38" s="56">
        <v>43550</v>
      </c>
      <c r="F38" s="8">
        <v>1569752.5</v>
      </c>
      <c r="G38" s="8">
        <v>1962190.63</v>
      </c>
      <c r="H38" s="56">
        <v>43100</v>
      </c>
      <c r="I38" s="24">
        <v>332010.625</v>
      </c>
      <c r="J38" s="77"/>
      <c r="L38" s="112"/>
      <c r="M38" s="112"/>
    </row>
    <row r="39" spans="1:13" ht="36" x14ac:dyDescent="0.25">
      <c r="A39" s="1">
        <v>21</v>
      </c>
      <c r="B39" s="60" t="s">
        <v>97</v>
      </c>
      <c r="C39" s="10" t="str">
        <f>"MSPM-2/2013-1-45KOM"</f>
        <v>MSPM-2/2013-1-45KOM</v>
      </c>
      <c r="D39" s="56">
        <v>41722</v>
      </c>
      <c r="E39" s="56">
        <v>43548</v>
      </c>
      <c r="F39" s="8">
        <v>3949497</v>
      </c>
      <c r="G39" s="8">
        <v>4936871.25</v>
      </c>
      <c r="H39" s="56">
        <v>43100</v>
      </c>
      <c r="I39" s="24">
        <v>2675755.1124999998</v>
      </c>
      <c r="J39" s="77"/>
      <c r="L39" s="112"/>
      <c r="M39" s="112"/>
    </row>
    <row r="40" spans="1:13" ht="24" x14ac:dyDescent="0.25">
      <c r="A40" s="1">
        <v>22</v>
      </c>
      <c r="B40" s="60" t="s">
        <v>191</v>
      </c>
      <c r="C40" s="10" t="str">
        <f>"MFIN-2/2013-1-3KOM"</f>
        <v>MFIN-2/2013-1-3KOM</v>
      </c>
      <c r="D40" s="56">
        <v>41709</v>
      </c>
      <c r="E40" s="56">
        <v>43535</v>
      </c>
      <c r="F40" s="8">
        <v>480343.5</v>
      </c>
      <c r="G40" s="8">
        <v>600429.38</v>
      </c>
      <c r="H40" s="56">
        <v>43100</v>
      </c>
      <c r="I40" s="24">
        <v>577483.1</v>
      </c>
      <c r="J40" s="77"/>
      <c r="L40" s="112"/>
      <c r="M40" s="112"/>
    </row>
    <row r="41" spans="1:13" ht="24" x14ac:dyDescent="0.25">
      <c r="A41" s="1">
        <v>23</v>
      </c>
      <c r="B41" s="60" t="s">
        <v>465</v>
      </c>
      <c r="C41" s="10" t="str">
        <f>"MPO-2/2013-1-6KOM"</f>
        <v>MPO-2/2013-1-6KOM</v>
      </c>
      <c r="D41" s="56">
        <v>41708</v>
      </c>
      <c r="E41" s="56">
        <v>43534</v>
      </c>
      <c r="F41" s="8">
        <v>1367694</v>
      </c>
      <c r="G41" s="8">
        <v>1709617.5</v>
      </c>
      <c r="H41" s="56">
        <v>42762</v>
      </c>
      <c r="I41" s="24">
        <v>119888.5125</v>
      </c>
      <c r="J41" s="77"/>
      <c r="L41" s="112"/>
      <c r="M41" s="112"/>
    </row>
    <row r="42" spans="1:13" ht="24" x14ac:dyDescent="0.25">
      <c r="A42" s="1">
        <v>24</v>
      </c>
      <c r="B42" s="60" t="s">
        <v>196</v>
      </c>
      <c r="C42" s="10" t="str">
        <f>"MGPU-2/2013-1-17KOM"</f>
        <v>MGPU-2/2013-1-17KOM</v>
      </c>
      <c r="D42" s="56">
        <v>41708</v>
      </c>
      <c r="E42" s="56">
        <v>43534</v>
      </c>
      <c r="F42" s="8">
        <v>1160496</v>
      </c>
      <c r="G42" s="8">
        <v>1450620</v>
      </c>
      <c r="H42" s="56">
        <v>43100</v>
      </c>
      <c r="I42" s="160">
        <v>713640.25</v>
      </c>
      <c r="J42" s="77"/>
      <c r="L42" s="112"/>
      <c r="M42" s="112"/>
    </row>
    <row r="43" spans="1:13" ht="24" x14ac:dyDescent="0.25">
      <c r="A43" s="1">
        <v>25</v>
      </c>
      <c r="B43" s="60" t="s">
        <v>206</v>
      </c>
      <c r="C43" s="10" t="str">
        <f>"DZM-2/2013-1-8KOM"</f>
        <v>DZM-2/2013-1-8KOM</v>
      </c>
      <c r="D43" s="56">
        <v>41708</v>
      </c>
      <c r="E43" s="56">
        <v>43534</v>
      </c>
      <c r="F43" s="8">
        <v>969804</v>
      </c>
      <c r="G43" s="8">
        <v>1212255</v>
      </c>
      <c r="H43" s="56">
        <v>43100</v>
      </c>
      <c r="I43" s="24">
        <v>716541.55</v>
      </c>
      <c r="J43" s="77"/>
      <c r="L43" s="112"/>
      <c r="M43" s="112"/>
    </row>
    <row r="44" spans="1:13" ht="24" x14ac:dyDescent="0.25">
      <c r="A44" s="1">
        <v>26</v>
      </c>
      <c r="B44" s="60" t="s">
        <v>202</v>
      </c>
      <c r="C44" s="10" t="str">
        <f>"DZIV-2/2013-1-1KOM"</f>
        <v>DZIV-2/2013-1-1KOM</v>
      </c>
      <c r="D44" s="56">
        <v>41708</v>
      </c>
      <c r="E44" s="56">
        <v>43534</v>
      </c>
      <c r="F44" s="8">
        <v>160144.5</v>
      </c>
      <c r="G44" s="8">
        <v>200180.63</v>
      </c>
      <c r="H44" s="56">
        <v>43100</v>
      </c>
      <c r="I44" s="24">
        <v>114773.9375</v>
      </c>
      <c r="J44" s="77"/>
      <c r="L44" s="112"/>
      <c r="M44" s="112"/>
    </row>
    <row r="45" spans="1:13" ht="24" x14ac:dyDescent="0.25">
      <c r="A45" s="1">
        <v>27</v>
      </c>
      <c r="B45" s="60" t="s">
        <v>193</v>
      </c>
      <c r="C45" s="10" t="str">
        <f>"MPPI-2/2013-1-27KOM"</f>
        <v>MPPI-2/2013-1-27KOM</v>
      </c>
      <c r="D45" s="56">
        <v>41705</v>
      </c>
      <c r="E45" s="56">
        <v>43531</v>
      </c>
      <c r="F45" s="8">
        <v>3304353.3</v>
      </c>
      <c r="G45" s="8">
        <v>4130441.63</v>
      </c>
      <c r="H45" s="56">
        <v>43100</v>
      </c>
      <c r="I45" s="24">
        <v>1576115.3374999999</v>
      </c>
      <c r="J45" s="77"/>
      <c r="L45" s="112"/>
      <c r="M45" s="112"/>
    </row>
    <row r="46" spans="1:13" ht="24" x14ac:dyDescent="0.25">
      <c r="A46" s="1">
        <v>28</v>
      </c>
      <c r="B46" s="60" t="s">
        <v>203</v>
      </c>
      <c r="C46" s="10" t="str">
        <f>"MINGO-2/2013-1-17KOM"</f>
        <v>MINGO-2/2013-1-17KOM</v>
      </c>
      <c r="D46" s="56">
        <v>41705</v>
      </c>
      <c r="E46" s="56">
        <v>43531</v>
      </c>
      <c r="F46" s="8">
        <v>1384852.5</v>
      </c>
      <c r="G46" s="8">
        <v>1731065.63</v>
      </c>
      <c r="H46" s="56">
        <v>43100</v>
      </c>
      <c r="I46" s="61">
        <v>2236906.9875000003</v>
      </c>
      <c r="J46" s="78"/>
      <c r="L46" s="112"/>
      <c r="M46" s="112"/>
    </row>
    <row r="47" spans="1:13" x14ac:dyDescent="0.25">
      <c r="A47" s="1">
        <v>29</v>
      </c>
      <c r="B47" s="60" t="s">
        <v>212</v>
      </c>
      <c r="C47" s="10" t="str">
        <f>"2/2013-1"</f>
        <v>2/2013-1</v>
      </c>
      <c r="D47" s="56">
        <v>42818</v>
      </c>
      <c r="E47" s="56">
        <v>42776</v>
      </c>
      <c r="F47" s="8">
        <v>0</v>
      </c>
      <c r="G47" s="8">
        <v>0</v>
      </c>
      <c r="H47" s="162"/>
      <c r="I47" s="166">
        <v>0</v>
      </c>
      <c r="J47" s="72"/>
      <c r="L47" s="112"/>
      <c r="M47" s="112"/>
    </row>
    <row r="48" spans="1:13" ht="7.5" customHeight="1" x14ac:dyDescent="0.25"/>
    <row r="49" spans="1:14" x14ac:dyDescent="0.25">
      <c r="A49" s="175" t="s">
        <v>45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</row>
    <row r="50" spans="1:14" ht="36" x14ac:dyDescent="0.25">
      <c r="A50" s="53" t="s">
        <v>0</v>
      </c>
      <c r="B50" s="54" t="s">
        <v>1</v>
      </c>
      <c r="C50" s="54" t="s">
        <v>3</v>
      </c>
      <c r="D50" s="178" t="s">
        <v>171</v>
      </c>
      <c r="E50" s="178"/>
      <c r="F50" s="54" t="s">
        <v>166</v>
      </c>
      <c r="G50" s="54" t="s">
        <v>170</v>
      </c>
      <c r="H50" s="54" t="s">
        <v>167</v>
      </c>
      <c r="I50" s="54" t="s">
        <v>4</v>
      </c>
      <c r="J50" s="54" t="s">
        <v>5</v>
      </c>
      <c r="K50" s="54" t="s">
        <v>2</v>
      </c>
      <c r="L50" s="54" t="s">
        <v>172</v>
      </c>
      <c r="M50" s="54" t="s">
        <v>173</v>
      </c>
      <c r="N50" s="54" t="s">
        <v>169</v>
      </c>
    </row>
    <row r="51" spans="1:14" ht="108" customHeight="1" x14ac:dyDescent="0.25">
      <c r="A51" s="1">
        <v>1</v>
      </c>
      <c r="B51" s="13" t="s">
        <v>55</v>
      </c>
      <c r="C51" s="14" t="s">
        <v>48</v>
      </c>
      <c r="D51" s="179" t="s">
        <v>1024</v>
      </c>
      <c r="E51" s="180"/>
      <c r="F51" s="1" t="s">
        <v>68</v>
      </c>
      <c r="G51" s="1">
        <v>34100000</v>
      </c>
      <c r="H51" s="1" t="s">
        <v>15</v>
      </c>
      <c r="I51" s="15">
        <v>41617</v>
      </c>
      <c r="J51" s="1" t="s">
        <v>57</v>
      </c>
      <c r="K51" s="8">
        <v>85282073.040000007</v>
      </c>
      <c r="L51" s="8">
        <f>K51*0.25</f>
        <v>21320518.260000002</v>
      </c>
      <c r="M51" s="8">
        <f>K51+L51</f>
        <v>106602591.30000001</v>
      </c>
      <c r="N51" s="176"/>
    </row>
    <row r="52" spans="1:14" ht="15" customHeight="1" x14ac:dyDescent="0.25">
      <c r="A52" s="177" t="s">
        <v>1012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8">
        <v>37612138.399999999</v>
      </c>
      <c r="N52" s="176"/>
    </row>
    <row r="53" spans="1:14" ht="7.5" customHeight="1" x14ac:dyDescent="0.25">
      <c r="L53" s="47"/>
    </row>
    <row r="54" spans="1:14" ht="15" customHeight="1" x14ac:dyDescent="0.25">
      <c r="A54" s="175" t="s">
        <v>12</v>
      </c>
      <c r="B54" s="175"/>
      <c r="C54" s="175"/>
      <c r="D54" s="175"/>
      <c r="E54" s="175"/>
      <c r="F54" s="175"/>
      <c r="G54" s="175"/>
      <c r="H54" s="175"/>
      <c r="I54" s="175"/>
      <c r="J54" s="175"/>
      <c r="K54" s="49"/>
      <c r="L54" s="49"/>
    </row>
    <row r="55" spans="1:14" ht="48" customHeight="1" x14ac:dyDescent="0.25">
      <c r="A55" s="2" t="s">
        <v>0</v>
      </c>
      <c r="B55" s="3" t="s">
        <v>7</v>
      </c>
      <c r="C55" s="3" t="s">
        <v>6</v>
      </c>
      <c r="D55" s="3" t="s">
        <v>8</v>
      </c>
      <c r="E55" s="3" t="s">
        <v>168</v>
      </c>
      <c r="F55" s="3" t="s">
        <v>174</v>
      </c>
      <c r="G55" s="3" t="s">
        <v>175</v>
      </c>
      <c r="H55" s="3" t="s">
        <v>9</v>
      </c>
      <c r="I55" s="3" t="s">
        <v>176</v>
      </c>
      <c r="J55" s="3" t="s">
        <v>10</v>
      </c>
      <c r="L55" s="48"/>
      <c r="M55" s="48"/>
    </row>
    <row r="56" spans="1:14" ht="23.25" customHeight="1" x14ac:dyDescent="0.25">
      <c r="A56" s="16">
        <v>1</v>
      </c>
      <c r="B56" s="60" t="s">
        <v>208</v>
      </c>
      <c r="C56" s="10" t="str">
        <f>"UZOP-2/2013-2"</f>
        <v>UZOP-2/2013-2</v>
      </c>
      <c r="D56" s="56">
        <v>41695</v>
      </c>
      <c r="E56" s="56">
        <v>43521</v>
      </c>
      <c r="F56" s="8">
        <v>5636830.5</v>
      </c>
      <c r="G56" s="8">
        <v>7046038.1299999999</v>
      </c>
      <c r="H56" s="56">
        <v>42735</v>
      </c>
      <c r="I56" s="161">
        <v>4332432.3875000002</v>
      </c>
      <c r="J56" s="73"/>
      <c r="L56" s="112"/>
      <c r="M56" s="112"/>
    </row>
    <row r="57" spans="1:14" ht="24.75" customHeight="1" x14ac:dyDescent="0.25">
      <c r="A57" s="1">
        <v>2</v>
      </c>
      <c r="B57" s="60" t="s">
        <v>195</v>
      </c>
      <c r="C57" s="10" t="str">
        <f>"MUP-2/2013-2-850KOM"</f>
        <v>MUP-2/2013-2-850KOM</v>
      </c>
      <c r="D57" s="56">
        <v>41694</v>
      </c>
      <c r="E57" s="56">
        <v>43520</v>
      </c>
      <c r="F57" s="8">
        <v>78523114.200000003</v>
      </c>
      <c r="G57" s="8">
        <v>98153892.75</v>
      </c>
      <c r="H57" s="56">
        <v>42369</v>
      </c>
      <c r="I57" s="37">
        <v>33279706.012499999</v>
      </c>
      <c r="J57" s="71"/>
      <c r="L57" s="112"/>
      <c r="M57" s="112"/>
    </row>
    <row r="58" spans="1:14" ht="7.5" customHeight="1" x14ac:dyDescent="0.25">
      <c r="L58" s="112"/>
      <c r="M58" s="112"/>
    </row>
    <row r="59" spans="1:14" x14ac:dyDescent="0.25">
      <c r="A59" s="175" t="s">
        <v>45</v>
      </c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</row>
    <row r="60" spans="1:14" ht="36" x14ac:dyDescent="0.25">
      <c r="A60" s="53" t="s">
        <v>0</v>
      </c>
      <c r="B60" s="54" t="s">
        <v>1</v>
      </c>
      <c r="C60" s="54" t="s">
        <v>3</v>
      </c>
      <c r="D60" s="178" t="s">
        <v>171</v>
      </c>
      <c r="E60" s="178"/>
      <c r="F60" s="54" t="s">
        <v>166</v>
      </c>
      <c r="G60" s="54" t="s">
        <v>170</v>
      </c>
      <c r="H60" s="54" t="s">
        <v>167</v>
      </c>
      <c r="I60" s="54" t="s">
        <v>4</v>
      </c>
      <c r="J60" s="54" t="s">
        <v>5</v>
      </c>
      <c r="K60" s="54" t="s">
        <v>2</v>
      </c>
      <c r="L60" s="54" t="s">
        <v>172</v>
      </c>
      <c r="M60" s="54" t="s">
        <v>173</v>
      </c>
      <c r="N60" s="54" t="s">
        <v>169</v>
      </c>
    </row>
    <row r="61" spans="1:14" ht="107.25" customHeight="1" x14ac:dyDescent="0.25">
      <c r="A61" s="1">
        <v>1</v>
      </c>
      <c r="B61" s="13" t="s">
        <v>55</v>
      </c>
      <c r="C61" s="14" t="s">
        <v>49</v>
      </c>
      <c r="D61" s="179" t="s">
        <v>1024</v>
      </c>
      <c r="E61" s="180"/>
      <c r="F61" s="1" t="s">
        <v>68</v>
      </c>
      <c r="G61" s="1">
        <v>34100000</v>
      </c>
      <c r="H61" s="1" t="s">
        <v>15</v>
      </c>
      <c r="I61" s="15">
        <v>41606</v>
      </c>
      <c r="J61" s="1" t="s">
        <v>57</v>
      </c>
      <c r="K61" s="8">
        <v>32064811.010000002</v>
      </c>
      <c r="L61" s="8">
        <f>K61*0.25</f>
        <v>8016202.7525000004</v>
      </c>
      <c r="M61" s="8">
        <f>K61+L61</f>
        <v>40081013.762500003</v>
      </c>
      <c r="N61" s="176"/>
    </row>
    <row r="62" spans="1:14" ht="15" customHeight="1" x14ac:dyDescent="0.25">
      <c r="A62" s="177" t="s">
        <v>1012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8">
        <v>23817280.16</v>
      </c>
      <c r="N62" s="176"/>
    </row>
    <row r="63" spans="1:14" ht="7.5" customHeight="1" x14ac:dyDescent="0.25">
      <c r="L63" s="47"/>
    </row>
    <row r="64" spans="1:14" ht="15" customHeight="1" x14ac:dyDescent="0.25">
      <c r="A64" s="175" t="s">
        <v>12</v>
      </c>
      <c r="B64" s="175"/>
      <c r="C64" s="175"/>
      <c r="D64" s="175"/>
      <c r="E64" s="175"/>
      <c r="F64" s="175"/>
      <c r="G64" s="175"/>
      <c r="H64" s="175"/>
      <c r="I64" s="175"/>
      <c r="J64" s="175"/>
      <c r="K64" s="49"/>
      <c r="L64" s="49"/>
    </row>
    <row r="65" spans="1:14" ht="48" customHeight="1" x14ac:dyDescent="0.25">
      <c r="A65" s="2" t="s">
        <v>0</v>
      </c>
      <c r="B65" s="3" t="s">
        <v>7</v>
      </c>
      <c r="C65" s="3" t="s">
        <v>6</v>
      </c>
      <c r="D65" s="3" t="s">
        <v>8</v>
      </c>
      <c r="E65" s="3" t="s">
        <v>168</v>
      </c>
      <c r="F65" s="3" t="s">
        <v>174</v>
      </c>
      <c r="G65" s="3" t="s">
        <v>175</v>
      </c>
      <c r="H65" s="3" t="s">
        <v>9</v>
      </c>
      <c r="I65" s="3" t="s">
        <v>176</v>
      </c>
      <c r="J65" s="3" t="s">
        <v>10</v>
      </c>
      <c r="L65" s="48"/>
      <c r="M65" s="48"/>
    </row>
    <row r="66" spans="1:14" ht="24" x14ac:dyDescent="0.25">
      <c r="A66" s="1">
        <v>1</v>
      </c>
      <c r="B66" s="60" t="s">
        <v>194</v>
      </c>
      <c r="C66" s="10" t="str">
        <f>"MVEP-2/2013-5-2KOM"</f>
        <v>MVEP-2/2013-5-2KOM</v>
      </c>
      <c r="D66" s="56">
        <v>41711</v>
      </c>
      <c r="E66" s="56">
        <v>42807</v>
      </c>
      <c r="F66" s="8">
        <v>498336.3</v>
      </c>
      <c r="G66" s="8">
        <v>622920.38</v>
      </c>
      <c r="H66" s="56">
        <v>43100</v>
      </c>
      <c r="I66" s="24">
        <v>1011565.8624999999</v>
      </c>
      <c r="J66" s="70"/>
      <c r="M66" s="112"/>
    </row>
    <row r="67" spans="1:14" ht="24.75" customHeight="1" x14ac:dyDescent="0.25">
      <c r="A67" s="1">
        <v>2</v>
      </c>
      <c r="B67" s="60" t="s">
        <v>210</v>
      </c>
      <c r="C67" s="10" t="str">
        <f>"MFINPU-2/2013-5-2KOM"</f>
        <v>MFINPU-2/2013-5-2KOM</v>
      </c>
      <c r="D67" s="56">
        <v>41704</v>
      </c>
      <c r="E67" s="56">
        <v>43530</v>
      </c>
      <c r="F67" s="8">
        <v>216697.5</v>
      </c>
      <c r="G67" s="8">
        <v>270871.88</v>
      </c>
      <c r="H67" s="56">
        <v>42735</v>
      </c>
      <c r="I67" s="24">
        <v>148257.29999999999</v>
      </c>
      <c r="J67" s="70"/>
      <c r="M67" s="112"/>
      <c r="N67" s="112"/>
    </row>
    <row r="68" spans="1:14" ht="24.75" customHeight="1" x14ac:dyDescent="0.25">
      <c r="A68" s="1">
        <v>3</v>
      </c>
      <c r="B68" s="60" t="s">
        <v>198</v>
      </c>
      <c r="C68" s="10" t="str">
        <f>"MFINCU-2/2013-5-2KOM"</f>
        <v>MFINCU-2/2013-5-2KOM</v>
      </c>
      <c r="D68" s="56">
        <v>41696</v>
      </c>
      <c r="E68" s="56">
        <v>43522</v>
      </c>
      <c r="F68" s="8">
        <v>499969.8</v>
      </c>
      <c r="G68" s="8">
        <v>624962.25</v>
      </c>
      <c r="H68" s="56">
        <v>43100</v>
      </c>
      <c r="I68" s="24">
        <v>486795.82499999995</v>
      </c>
      <c r="J68" s="70"/>
      <c r="M68" s="112"/>
      <c r="N68" s="112"/>
    </row>
    <row r="69" spans="1:14" ht="24" x14ac:dyDescent="0.25">
      <c r="A69" s="1">
        <v>4</v>
      </c>
      <c r="B69" s="60" t="s">
        <v>185</v>
      </c>
      <c r="C69" s="10" t="str">
        <f>"MIZ-2/2013-5-1KOM"</f>
        <v>MIZ-2/2013-5-1KOM</v>
      </c>
      <c r="D69" s="56">
        <v>41694</v>
      </c>
      <c r="E69" s="56">
        <v>43520</v>
      </c>
      <c r="F69" s="8">
        <v>111973.2</v>
      </c>
      <c r="G69" s="8">
        <v>139966.5</v>
      </c>
      <c r="H69" s="56">
        <v>43100</v>
      </c>
      <c r="I69" s="24">
        <v>131813.29999999999</v>
      </c>
      <c r="J69" s="70"/>
      <c r="M69" s="112"/>
      <c r="N69" s="112"/>
    </row>
    <row r="70" spans="1:14" ht="24" x14ac:dyDescent="0.25">
      <c r="A70" s="1">
        <v>5</v>
      </c>
      <c r="B70" s="60" t="s">
        <v>469</v>
      </c>
      <c r="C70" s="10" t="str">
        <f>"HZZO-2/2013-5-4KOM"</f>
        <v>HZZO-2/2013-5-4KOM</v>
      </c>
      <c r="D70" s="56">
        <v>41690</v>
      </c>
      <c r="E70" s="56">
        <v>43516</v>
      </c>
      <c r="F70" s="8">
        <v>623308.5</v>
      </c>
      <c r="G70" s="8">
        <v>779135.63</v>
      </c>
      <c r="H70" s="56">
        <v>42369</v>
      </c>
      <c r="I70" s="24">
        <v>200660.98750000002</v>
      </c>
      <c r="J70" s="70"/>
      <c r="M70" s="112"/>
      <c r="N70" s="112"/>
    </row>
    <row r="71" spans="1:14" ht="24" x14ac:dyDescent="0.25">
      <c r="A71" s="1">
        <v>6</v>
      </c>
      <c r="B71" s="60" t="s">
        <v>199</v>
      </c>
      <c r="C71" s="10" t="str">
        <f>"MB-2/2013-5-1KOM"</f>
        <v>MB-2/2013-5-1KOM</v>
      </c>
      <c r="D71" s="56">
        <v>41690</v>
      </c>
      <c r="E71" s="56">
        <v>43516</v>
      </c>
      <c r="F71" s="8">
        <v>131265.25</v>
      </c>
      <c r="G71" s="8">
        <v>164081.56</v>
      </c>
      <c r="H71" s="56">
        <v>43100</v>
      </c>
      <c r="I71" s="24">
        <v>74044.862500000003</v>
      </c>
      <c r="J71" s="70"/>
      <c r="M71" s="112"/>
      <c r="N71" s="112"/>
    </row>
    <row r="72" spans="1:14" ht="24" x14ac:dyDescent="0.25">
      <c r="A72" s="1">
        <v>7</v>
      </c>
      <c r="B72" s="60" t="s">
        <v>196</v>
      </c>
      <c r="C72" s="10" t="str">
        <f>"MGPU-2/2013-5-1KOM"</f>
        <v>MGPU-2/2013-5-1KOM</v>
      </c>
      <c r="D72" s="56">
        <v>41683</v>
      </c>
      <c r="E72" s="56">
        <v>43509</v>
      </c>
      <c r="F72" s="8">
        <v>111973.5</v>
      </c>
      <c r="G72" s="8">
        <v>139966.88</v>
      </c>
      <c r="H72" s="56">
        <v>43100</v>
      </c>
      <c r="I72" s="24">
        <v>84371.5</v>
      </c>
      <c r="J72" s="70"/>
      <c r="M72" s="112"/>
      <c r="N72" s="112"/>
    </row>
    <row r="73" spans="1:14" ht="24" x14ac:dyDescent="0.25">
      <c r="A73" s="1">
        <v>8</v>
      </c>
      <c r="B73" s="60" t="s">
        <v>278</v>
      </c>
      <c r="C73" s="10" t="str">
        <f>"DGU-2/2013-5-1KOM"</f>
        <v>DGU-2/2013-5-1KOM</v>
      </c>
      <c r="D73" s="56">
        <v>41683</v>
      </c>
      <c r="E73" s="56">
        <v>43509</v>
      </c>
      <c r="F73" s="8">
        <v>104724</v>
      </c>
      <c r="G73" s="8">
        <v>130905</v>
      </c>
      <c r="H73" s="56">
        <v>43100</v>
      </c>
      <c r="I73" s="24">
        <v>101218.3125</v>
      </c>
      <c r="J73" s="70"/>
      <c r="M73" s="112"/>
      <c r="N73" s="112"/>
    </row>
    <row r="74" spans="1:14" ht="36" x14ac:dyDescent="0.25">
      <c r="A74" s="1">
        <v>9</v>
      </c>
      <c r="B74" s="60" t="s">
        <v>97</v>
      </c>
      <c r="C74" s="10" t="str">
        <f>"MSPM-2/2013-5-16KOM"</f>
        <v>MSPM-2/2013-5-16KOM</v>
      </c>
      <c r="D74" s="56">
        <v>41683</v>
      </c>
      <c r="E74" s="56">
        <v>43509</v>
      </c>
      <c r="F74" s="8">
        <v>2775078</v>
      </c>
      <c r="G74" s="8">
        <v>3468847.5</v>
      </c>
      <c r="H74" s="56">
        <v>43100</v>
      </c>
      <c r="I74" s="24">
        <v>2369659.65</v>
      </c>
      <c r="J74" s="70"/>
      <c r="M74" s="112"/>
      <c r="N74" s="112"/>
    </row>
    <row r="75" spans="1:14" ht="36" x14ac:dyDescent="0.25">
      <c r="A75" s="1">
        <v>10</v>
      </c>
      <c r="B75" s="60" t="s">
        <v>17</v>
      </c>
      <c r="C75" s="10" t="str">
        <f>"MPRAVO-2/2013-5-69KOM"</f>
        <v>MPRAVO-2/2013-5-69KOM</v>
      </c>
      <c r="D75" s="56">
        <v>41674</v>
      </c>
      <c r="E75" s="56">
        <v>43500</v>
      </c>
      <c r="F75" s="8">
        <v>24577461</v>
      </c>
      <c r="G75" s="8">
        <v>30721826.25</v>
      </c>
      <c r="H75" s="56">
        <v>43100</v>
      </c>
      <c r="I75" s="61">
        <v>17826442.412500001</v>
      </c>
      <c r="J75" s="76"/>
      <c r="M75" s="112"/>
      <c r="N75" s="112"/>
    </row>
    <row r="76" spans="1:14" ht="24" x14ac:dyDescent="0.25">
      <c r="A76" s="1">
        <v>11</v>
      </c>
      <c r="B76" s="60" t="s">
        <v>206</v>
      </c>
      <c r="C76" s="10" t="str">
        <f>"DZM-2/2013-5-5KOM"</f>
        <v>DZM-2/2013-5-5KOM</v>
      </c>
      <c r="D76" s="56">
        <v>41666</v>
      </c>
      <c r="E76" s="56">
        <v>43492</v>
      </c>
      <c r="F76" s="8">
        <v>666156.5</v>
      </c>
      <c r="G76" s="8">
        <v>832695.63</v>
      </c>
      <c r="H76" s="56">
        <v>43100</v>
      </c>
      <c r="I76" s="37">
        <v>498417.97499999998</v>
      </c>
      <c r="J76" s="71"/>
      <c r="M76" s="112"/>
      <c r="N76" s="112"/>
    </row>
    <row r="77" spans="1:14" ht="24" x14ac:dyDescent="0.25">
      <c r="A77" s="1">
        <v>12</v>
      </c>
      <c r="B77" s="60" t="s">
        <v>209</v>
      </c>
      <c r="C77" s="10" t="str">
        <f>"DHMZ-2/2013-5-6KOM"</f>
        <v>DHMZ-2/2013-5-6KOM</v>
      </c>
      <c r="D77" s="56">
        <v>41663</v>
      </c>
      <c r="E77" s="56">
        <v>43489</v>
      </c>
      <c r="F77" s="8">
        <v>1315962</v>
      </c>
      <c r="G77" s="8">
        <v>1644952.5</v>
      </c>
      <c r="H77" s="56">
        <v>43100</v>
      </c>
      <c r="I77" s="37">
        <v>884032.17500000005</v>
      </c>
      <c r="J77" s="71"/>
      <c r="M77" s="112"/>
      <c r="N77" s="112"/>
    </row>
    <row r="78" spans="1:14" ht="7.5" customHeight="1" x14ac:dyDescent="0.25"/>
    <row r="79" spans="1:14" x14ac:dyDescent="0.25">
      <c r="A79" s="175" t="s">
        <v>45</v>
      </c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</row>
    <row r="80" spans="1:14" ht="36" x14ac:dyDescent="0.25">
      <c r="A80" s="53" t="s">
        <v>0</v>
      </c>
      <c r="B80" s="54" t="s">
        <v>1</v>
      </c>
      <c r="C80" s="54" t="s">
        <v>3</v>
      </c>
      <c r="D80" s="178" t="s">
        <v>171</v>
      </c>
      <c r="E80" s="178"/>
      <c r="F80" s="54" t="s">
        <v>166</v>
      </c>
      <c r="G80" s="54" t="s">
        <v>170</v>
      </c>
      <c r="H80" s="54" t="s">
        <v>167</v>
      </c>
      <c r="I80" s="54" t="s">
        <v>4</v>
      </c>
      <c r="J80" s="54" t="s">
        <v>5</v>
      </c>
      <c r="K80" s="54" t="s">
        <v>2</v>
      </c>
      <c r="L80" s="54" t="s">
        <v>172</v>
      </c>
      <c r="M80" s="54" t="s">
        <v>173</v>
      </c>
      <c r="N80" s="54" t="s">
        <v>169</v>
      </c>
    </row>
    <row r="81" spans="1:14" ht="36" x14ac:dyDescent="0.25">
      <c r="A81" s="1">
        <v>1</v>
      </c>
      <c r="B81" s="13" t="s">
        <v>55</v>
      </c>
      <c r="C81" s="14" t="s">
        <v>50</v>
      </c>
      <c r="D81" s="187" t="s">
        <v>1023</v>
      </c>
      <c r="E81" s="188"/>
      <c r="F81" s="1" t="s">
        <v>68</v>
      </c>
      <c r="G81" s="1">
        <v>34100000</v>
      </c>
      <c r="H81" s="1" t="s">
        <v>15</v>
      </c>
      <c r="I81" s="15">
        <v>41568</v>
      </c>
      <c r="J81" s="1" t="s">
        <v>57</v>
      </c>
      <c r="K81" s="8">
        <v>50499596.880000003</v>
      </c>
      <c r="L81" s="8">
        <f>K81*0.25</f>
        <v>12624899.220000001</v>
      </c>
      <c r="M81" s="8">
        <f>K81+L81</f>
        <v>63124496.100000001</v>
      </c>
      <c r="N81" s="176"/>
    </row>
    <row r="82" spans="1:14" ht="15" customHeight="1" x14ac:dyDescent="0.25">
      <c r="A82" s="177" t="s">
        <v>1012</v>
      </c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8">
        <v>12410831.48</v>
      </c>
      <c r="N82" s="176"/>
    </row>
    <row r="83" spans="1:14" ht="7.5" customHeight="1" x14ac:dyDescent="0.25">
      <c r="L83" s="47"/>
    </row>
    <row r="84" spans="1:14" ht="15" customHeight="1" x14ac:dyDescent="0.25">
      <c r="A84" s="175" t="s">
        <v>12</v>
      </c>
      <c r="B84" s="175"/>
      <c r="C84" s="175"/>
      <c r="D84" s="175"/>
      <c r="E84" s="175"/>
      <c r="F84" s="175"/>
      <c r="G84" s="175"/>
      <c r="H84" s="175"/>
      <c r="I84" s="175"/>
      <c r="J84" s="175"/>
      <c r="K84" s="49"/>
      <c r="L84" s="49"/>
    </row>
    <row r="85" spans="1:14" ht="48" customHeight="1" x14ac:dyDescent="0.25">
      <c r="A85" s="2" t="s">
        <v>0</v>
      </c>
      <c r="B85" s="3" t="s">
        <v>7</v>
      </c>
      <c r="C85" s="3" t="s">
        <v>6</v>
      </c>
      <c r="D85" s="3" t="s">
        <v>8</v>
      </c>
      <c r="E85" s="3" t="s">
        <v>168</v>
      </c>
      <c r="F85" s="3" t="s">
        <v>174</v>
      </c>
      <c r="G85" s="3" t="s">
        <v>175</v>
      </c>
      <c r="H85" s="3" t="s">
        <v>9</v>
      </c>
      <c r="I85" s="3" t="s">
        <v>176</v>
      </c>
      <c r="J85" s="3" t="s">
        <v>10</v>
      </c>
      <c r="L85" s="48"/>
      <c r="M85" s="48"/>
    </row>
    <row r="86" spans="1:14" ht="24" x14ac:dyDescent="0.25">
      <c r="A86" s="16">
        <v>1</v>
      </c>
      <c r="B86" s="60" t="s">
        <v>195</v>
      </c>
      <c r="C86" s="10" t="str">
        <f>"MUP-2/2013-6-159KOMKOM"</f>
        <v>MUP-2/2013-6-159KOMKOM</v>
      </c>
      <c r="D86" s="56">
        <v>41730</v>
      </c>
      <c r="E86" s="56">
        <v>43556</v>
      </c>
      <c r="F86" s="8">
        <v>49655785.5</v>
      </c>
      <c r="G86" s="8">
        <v>62069731.880000003</v>
      </c>
      <c r="H86" s="56">
        <v>42369</v>
      </c>
      <c r="I86" s="61">
        <v>12276083.587499999</v>
      </c>
      <c r="J86" s="76"/>
      <c r="L86" s="112"/>
      <c r="M86" s="112"/>
    </row>
    <row r="87" spans="1:14" ht="36" x14ac:dyDescent="0.25">
      <c r="A87" s="1">
        <v>2</v>
      </c>
      <c r="B87" s="60" t="s">
        <v>208</v>
      </c>
      <c r="C87" s="10" t="str">
        <f>"UZOP-2/2013-6-2KOM"</f>
        <v>UZOP-2/2013-6-2KOM</v>
      </c>
      <c r="D87" s="56">
        <v>41662</v>
      </c>
      <c r="E87" s="56">
        <v>43488</v>
      </c>
      <c r="F87" s="8">
        <v>179343</v>
      </c>
      <c r="G87" s="8">
        <v>224178.75</v>
      </c>
      <c r="H87" s="56">
        <v>42735</v>
      </c>
      <c r="I87" s="37">
        <v>134747.88750000001</v>
      </c>
      <c r="J87" s="71"/>
      <c r="L87" s="112"/>
      <c r="M87" s="112"/>
    </row>
    <row r="88" spans="1:14" ht="7.5" customHeight="1" x14ac:dyDescent="0.25"/>
    <row r="89" spans="1:14" x14ac:dyDescent="0.25">
      <c r="A89" s="175" t="s">
        <v>45</v>
      </c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</row>
    <row r="90" spans="1:14" ht="36" x14ac:dyDescent="0.25">
      <c r="A90" s="53" t="s">
        <v>0</v>
      </c>
      <c r="B90" s="54" t="s">
        <v>1</v>
      </c>
      <c r="C90" s="54" t="s">
        <v>3</v>
      </c>
      <c r="D90" s="178" t="s">
        <v>171</v>
      </c>
      <c r="E90" s="178"/>
      <c r="F90" s="54" t="s">
        <v>166</v>
      </c>
      <c r="G90" s="54" t="s">
        <v>170</v>
      </c>
      <c r="H90" s="54" t="s">
        <v>167</v>
      </c>
      <c r="I90" s="54" t="s">
        <v>4</v>
      </c>
      <c r="J90" s="54" t="s">
        <v>5</v>
      </c>
      <c r="K90" s="54" t="s">
        <v>2</v>
      </c>
      <c r="L90" s="54" t="s">
        <v>172</v>
      </c>
      <c r="M90" s="54" t="s">
        <v>173</v>
      </c>
      <c r="N90" s="54" t="s">
        <v>169</v>
      </c>
    </row>
    <row r="91" spans="1:14" ht="36" x14ac:dyDescent="0.25">
      <c r="A91" s="1">
        <v>1</v>
      </c>
      <c r="B91" s="13" t="s">
        <v>55</v>
      </c>
      <c r="C91" s="14" t="s">
        <v>107</v>
      </c>
      <c r="D91" s="179" t="s">
        <v>1025</v>
      </c>
      <c r="E91" s="180"/>
      <c r="F91" s="1" t="s">
        <v>165</v>
      </c>
      <c r="G91" s="1">
        <v>34100000</v>
      </c>
      <c r="H91" s="1" t="s">
        <v>15</v>
      </c>
      <c r="I91" s="15" t="s">
        <v>160</v>
      </c>
      <c r="J91" s="1" t="s">
        <v>56</v>
      </c>
      <c r="K91" s="8">
        <v>19155176.039999999</v>
      </c>
      <c r="L91" s="8">
        <f>K91*0.25</f>
        <v>4788794.01</v>
      </c>
      <c r="M91" s="8">
        <f>K91+L91</f>
        <v>23943970.049999997</v>
      </c>
      <c r="N91" s="176"/>
    </row>
    <row r="92" spans="1:14" ht="15" customHeight="1" x14ac:dyDescent="0.25">
      <c r="A92" s="177" t="s">
        <v>1012</v>
      </c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79">
        <v>0</v>
      </c>
      <c r="N92" s="176"/>
    </row>
    <row r="93" spans="1:14" ht="7.5" customHeight="1" x14ac:dyDescent="0.25">
      <c r="L93" s="47"/>
    </row>
    <row r="94" spans="1:14" x14ac:dyDescent="0.25">
      <c r="A94" s="175" t="s">
        <v>45</v>
      </c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</row>
    <row r="95" spans="1:14" ht="36" x14ac:dyDescent="0.25">
      <c r="A95" s="53" t="s">
        <v>0</v>
      </c>
      <c r="B95" s="54" t="s">
        <v>1</v>
      </c>
      <c r="C95" s="54" t="s">
        <v>3</v>
      </c>
      <c r="D95" s="178" t="s">
        <v>171</v>
      </c>
      <c r="E95" s="178"/>
      <c r="F95" s="54" t="s">
        <v>166</v>
      </c>
      <c r="G95" s="54" t="s">
        <v>170</v>
      </c>
      <c r="H95" s="54" t="s">
        <v>167</v>
      </c>
      <c r="I95" s="54" t="s">
        <v>4</v>
      </c>
      <c r="J95" s="54" t="s">
        <v>5</v>
      </c>
      <c r="K95" s="54" t="s">
        <v>2</v>
      </c>
      <c r="L95" s="54" t="s">
        <v>172</v>
      </c>
      <c r="M95" s="54" t="s">
        <v>173</v>
      </c>
      <c r="N95" s="54" t="s">
        <v>169</v>
      </c>
    </row>
    <row r="96" spans="1:14" ht="36" x14ac:dyDescent="0.25">
      <c r="A96" s="1">
        <v>1</v>
      </c>
      <c r="B96" s="13" t="s">
        <v>55</v>
      </c>
      <c r="C96" s="14" t="s">
        <v>108</v>
      </c>
      <c r="D96" s="179" t="s">
        <v>1026</v>
      </c>
      <c r="E96" s="180"/>
      <c r="F96" s="1" t="s">
        <v>165</v>
      </c>
      <c r="G96" s="1">
        <v>34100000</v>
      </c>
      <c r="H96" s="1" t="s">
        <v>15</v>
      </c>
      <c r="I96" s="15" t="s">
        <v>161</v>
      </c>
      <c r="J96" s="1" t="s">
        <v>56</v>
      </c>
      <c r="K96" s="8">
        <v>3892350</v>
      </c>
      <c r="L96" s="8">
        <f>K96*0.25</f>
        <v>973087.5</v>
      </c>
      <c r="M96" s="8">
        <f>K96+L96</f>
        <v>4865437.5</v>
      </c>
      <c r="N96" s="176"/>
    </row>
    <row r="97" spans="1:14" ht="15" customHeight="1" x14ac:dyDescent="0.25">
      <c r="A97" s="177" t="s">
        <v>1012</v>
      </c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79">
        <v>0</v>
      </c>
      <c r="N97" s="176"/>
    </row>
    <row r="98" spans="1:14" ht="7.5" customHeight="1" x14ac:dyDescent="0.25">
      <c r="A98" s="1"/>
      <c r="B98" s="28"/>
      <c r="C98" s="29"/>
      <c r="D98" s="29"/>
      <c r="E98" s="30"/>
      <c r="F98" s="30"/>
      <c r="G98" s="21"/>
      <c r="H98" s="30"/>
      <c r="I98" s="21"/>
      <c r="J98" s="21"/>
      <c r="K98" s="31"/>
    </row>
    <row r="99" spans="1:14" x14ac:dyDescent="0.25">
      <c r="A99" s="175" t="s">
        <v>45</v>
      </c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</row>
    <row r="100" spans="1:14" ht="36" x14ac:dyDescent="0.25">
      <c r="A100" s="53" t="s">
        <v>0</v>
      </c>
      <c r="B100" s="54" t="s">
        <v>1</v>
      </c>
      <c r="C100" s="54" t="s">
        <v>3</v>
      </c>
      <c r="D100" s="178" t="s">
        <v>171</v>
      </c>
      <c r="E100" s="178"/>
      <c r="F100" s="54" t="s">
        <v>166</v>
      </c>
      <c r="G100" s="54" t="s">
        <v>170</v>
      </c>
      <c r="H100" s="54" t="s">
        <v>167</v>
      </c>
      <c r="I100" s="54" t="s">
        <v>4</v>
      </c>
      <c r="J100" s="54" t="s">
        <v>5</v>
      </c>
      <c r="K100" s="54" t="s">
        <v>2</v>
      </c>
      <c r="L100" s="54" t="s">
        <v>172</v>
      </c>
      <c r="M100" s="54" t="s">
        <v>173</v>
      </c>
      <c r="N100" s="54" t="s">
        <v>169</v>
      </c>
    </row>
    <row r="101" spans="1:14" ht="36" x14ac:dyDescent="0.25">
      <c r="A101" s="1">
        <v>1</v>
      </c>
      <c r="B101" s="13" t="s">
        <v>55</v>
      </c>
      <c r="C101" s="14" t="s">
        <v>109</v>
      </c>
      <c r="D101" s="179" t="s">
        <v>1026</v>
      </c>
      <c r="E101" s="180"/>
      <c r="F101" s="1" t="s">
        <v>165</v>
      </c>
      <c r="G101" s="1">
        <v>34100000</v>
      </c>
      <c r="H101" s="1" t="s">
        <v>15</v>
      </c>
      <c r="I101" s="15" t="s">
        <v>161</v>
      </c>
      <c r="J101" s="1" t="s">
        <v>56</v>
      </c>
      <c r="K101" s="8">
        <v>2424368.1</v>
      </c>
      <c r="L101" s="8">
        <f>K101*0.25</f>
        <v>606092.02500000002</v>
      </c>
      <c r="M101" s="8">
        <f>K101+L101</f>
        <v>3030460.125</v>
      </c>
      <c r="N101" s="176"/>
    </row>
    <row r="102" spans="1:14" ht="15" customHeight="1" x14ac:dyDescent="0.25">
      <c r="A102" s="177" t="s">
        <v>1012</v>
      </c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79">
        <v>0</v>
      </c>
      <c r="N102" s="176"/>
    </row>
    <row r="103" spans="1:14" ht="7.5" customHeight="1" x14ac:dyDescent="0.25">
      <c r="A103" s="1"/>
      <c r="B103" s="28"/>
      <c r="C103" s="29"/>
      <c r="D103" s="29"/>
      <c r="E103" s="30"/>
      <c r="F103" s="30"/>
      <c r="G103" s="21"/>
      <c r="H103" s="30"/>
      <c r="I103" s="21"/>
      <c r="J103" s="21"/>
      <c r="K103" s="31"/>
    </row>
    <row r="104" spans="1:14" x14ac:dyDescent="0.25">
      <c r="A104" s="175" t="s">
        <v>45</v>
      </c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</row>
    <row r="105" spans="1:14" ht="36" x14ac:dyDescent="0.25">
      <c r="A105" s="53" t="s">
        <v>0</v>
      </c>
      <c r="B105" s="54" t="s">
        <v>1</v>
      </c>
      <c r="C105" s="54" t="s">
        <v>3</v>
      </c>
      <c r="D105" s="178" t="s">
        <v>171</v>
      </c>
      <c r="E105" s="178"/>
      <c r="F105" s="54" t="s">
        <v>166</v>
      </c>
      <c r="G105" s="54" t="s">
        <v>170</v>
      </c>
      <c r="H105" s="54" t="s">
        <v>167</v>
      </c>
      <c r="I105" s="54" t="s">
        <v>4</v>
      </c>
      <c r="J105" s="54" t="s">
        <v>5</v>
      </c>
      <c r="K105" s="54" t="s">
        <v>2</v>
      </c>
      <c r="L105" s="54" t="s">
        <v>172</v>
      </c>
      <c r="M105" s="54" t="s">
        <v>173</v>
      </c>
      <c r="N105" s="54" t="s">
        <v>169</v>
      </c>
    </row>
    <row r="106" spans="1:14" ht="36" x14ac:dyDescent="0.25">
      <c r="A106" s="1">
        <v>1</v>
      </c>
      <c r="B106" s="13" t="s">
        <v>55</v>
      </c>
      <c r="C106" s="14" t="s">
        <v>110</v>
      </c>
      <c r="D106" s="179" t="s">
        <v>1026</v>
      </c>
      <c r="E106" s="180"/>
      <c r="F106" s="1" t="s">
        <v>165</v>
      </c>
      <c r="G106" s="1">
        <v>34100000</v>
      </c>
      <c r="H106" s="1" t="s">
        <v>15</v>
      </c>
      <c r="I106" s="15" t="s">
        <v>161</v>
      </c>
      <c r="J106" s="1" t="s">
        <v>56</v>
      </c>
      <c r="K106" s="8">
        <v>13631374.68</v>
      </c>
      <c r="L106" s="8">
        <f>K106*0.25</f>
        <v>3407843.67</v>
      </c>
      <c r="M106" s="8">
        <f>K106+L106</f>
        <v>17039218.350000001</v>
      </c>
      <c r="N106" s="176"/>
    </row>
    <row r="107" spans="1:14" ht="15" customHeight="1" x14ac:dyDescent="0.25">
      <c r="A107" s="177" t="s">
        <v>1012</v>
      </c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8">
        <v>27163582.460000001</v>
      </c>
      <c r="N107" s="176"/>
    </row>
    <row r="108" spans="1:14" ht="7.5" customHeight="1" x14ac:dyDescent="0.25">
      <c r="L108" s="47"/>
    </row>
    <row r="109" spans="1:14" ht="15" customHeight="1" x14ac:dyDescent="0.25">
      <c r="A109" s="175" t="s">
        <v>12</v>
      </c>
      <c r="B109" s="175"/>
      <c r="C109" s="175"/>
      <c r="D109" s="175"/>
      <c r="E109" s="175"/>
      <c r="F109" s="175"/>
      <c r="G109" s="175"/>
      <c r="H109" s="175"/>
      <c r="I109" s="175"/>
      <c r="J109" s="175"/>
      <c r="K109" s="49"/>
      <c r="L109" s="49"/>
    </row>
    <row r="110" spans="1:14" ht="48" customHeight="1" x14ac:dyDescent="0.25">
      <c r="A110" s="2" t="s">
        <v>0</v>
      </c>
      <c r="B110" s="3" t="s">
        <v>7</v>
      </c>
      <c r="C110" s="3" t="s">
        <v>6</v>
      </c>
      <c r="D110" s="3" t="s">
        <v>8</v>
      </c>
      <c r="E110" s="3" t="s">
        <v>168</v>
      </c>
      <c r="F110" s="3" t="s">
        <v>471</v>
      </c>
      <c r="G110" s="3" t="s">
        <v>472</v>
      </c>
      <c r="H110" s="3" t="s">
        <v>9</v>
      </c>
      <c r="I110" s="3" t="s">
        <v>176</v>
      </c>
      <c r="J110" s="3" t="s">
        <v>10</v>
      </c>
      <c r="L110" s="48"/>
      <c r="M110" s="48"/>
    </row>
    <row r="111" spans="1:14" x14ac:dyDescent="0.25">
      <c r="A111" s="1">
        <v>1</v>
      </c>
      <c r="B111" s="60" t="s">
        <v>17</v>
      </c>
      <c r="C111" s="10" t="str">
        <f>"64323/17"</f>
        <v>64323/17</v>
      </c>
      <c r="D111" s="56">
        <v>42895</v>
      </c>
      <c r="E111" s="56">
        <v>44721</v>
      </c>
      <c r="F111" s="8">
        <v>102188.59</v>
      </c>
      <c r="G111" s="8">
        <v>127735.74</v>
      </c>
      <c r="H111" s="56">
        <v>43100</v>
      </c>
      <c r="I111" s="37">
        <v>766414.42500000005</v>
      </c>
      <c r="J111" s="71"/>
      <c r="L111" s="112"/>
      <c r="M111" s="112"/>
    </row>
    <row r="112" spans="1:14" x14ac:dyDescent="0.25">
      <c r="A112" s="1">
        <v>2</v>
      </c>
      <c r="B112" s="60" t="s">
        <v>17</v>
      </c>
      <c r="C112" s="10" t="str">
        <f>"64300/17"</f>
        <v>64300/17</v>
      </c>
      <c r="D112" s="56">
        <v>42895</v>
      </c>
      <c r="E112" s="56">
        <v>44721</v>
      </c>
      <c r="F112" s="8">
        <v>102188.59</v>
      </c>
      <c r="G112" s="8">
        <v>127735.74</v>
      </c>
      <c r="H112" s="56">
        <v>43100</v>
      </c>
      <c r="I112" s="37">
        <v>766414.42500000005</v>
      </c>
      <c r="J112" s="71"/>
      <c r="L112" s="112"/>
      <c r="M112" s="112"/>
    </row>
    <row r="113" spans="1:13" x14ac:dyDescent="0.25">
      <c r="A113" s="1">
        <v>3</v>
      </c>
      <c r="B113" s="60" t="s">
        <v>17</v>
      </c>
      <c r="C113" s="10" t="str">
        <f>"64321/17"</f>
        <v>64321/17</v>
      </c>
      <c r="D113" s="56">
        <v>42895</v>
      </c>
      <c r="E113" s="56">
        <v>44721</v>
      </c>
      <c r="F113" s="8">
        <v>102188.59</v>
      </c>
      <c r="G113" s="8">
        <v>127735.74</v>
      </c>
      <c r="H113" s="56">
        <v>43100</v>
      </c>
      <c r="I113" s="37">
        <v>766414.42500000005</v>
      </c>
      <c r="J113" s="71"/>
      <c r="L113" s="112"/>
      <c r="M113" s="112"/>
    </row>
    <row r="114" spans="1:13" x14ac:dyDescent="0.25">
      <c r="A114" s="1">
        <v>4</v>
      </c>
      <c r="B114" s="60" t="s">
        <v>17</v>
      </c>
      <c r="C114" s="10" t="str">
        <f>"64320/17"</f>
        <v>64320/17</v>
      </c>
      <c r="D114" s="56">
        <v>42895</v>
      </c>
      <c r="E114" s="56">
        <v>44721</v>
      </c>
      <c r="F114" s="8">
        <v>102188.59</v>
      </c>
      <c r="G114" s="8">
        <v>127735.74</v>
      </c>
      <c r="H114" s="56">
        <v>43100</v>
      </c>
      <c r="I114" s="37">
        <v>766414.42500000005</v>
      </c>
      <c r="J114" s="71"/>
      <c r="L114" s="112"/>
      <c r="M114" s="112"/>
    </row>
    <row r="115" spans="1:13" x14ac:dyDescent="0.25">
      <c r="A115" s="1">
        <v>5</v>
      </c>
      <c r="B115" s="60" t="s">
        <v>17</v>
      </c>
      <c r="C115" s="10" t="str">
        <f>"64319/17"</f>
        <v>64319/17</v>
      </c>
      <c r="D115" s="56">
        <v>42895</v>
      </c>
      <c r="E115" s="56">
        <v>44721</v>
      </c>
      <c r="F115" s="8">
        <v>102188.59</v>
      </c>
      <c r="G115" s="8">
        <v>127735.74</v>
      </c>
      <c r="H115" s="56">
        <v>43100</v>
      </c>
      <c r="I115" s="37">
        <v>766414.42500000005</v>
      </c>
      <c r="J115" s="71"/>
      <c r="L115" s="112"/>
      <c r="M115" s="112"/>
    </row>
    <row r="116" spans="1:13" x14ac:dyDescent="0.25">
      <c r="A116" s="1">
        <v>6</v>
      </c>
      <c r="B116" s="60" t="s">
        <v>17</v>
      </c>
      <c r="C116" s="10" t="str">
        <f>"64318/17"</f>
        <v>64318/17</v>
      </c>
      <c r="D116" s="56">
        <v>42895</v>
      </c>
      <c r="E116" s="56">
        <v>44721</v>
      </c>
      <c r="F116" s="8">
        <v>102188.59</v>
      </c>
      <c r="G116" s="8">
        <v>127735.74</v>
      </c>
      <c r="H116" s="56">
        <v>43100</v>
      </c>
      <c r="I116" s="37">
        <v>766414.42500000005</v>
      </c>
      <c r="J116" s="71"/>
      <c r="L116" s="112"/>
      <c r="M116" s="112"/>
    </row>
    <row r="117" spans="1:13" x14ac:dyDescent="0.25">
      <c r="A117" s="1">
        <v>7</v>
      </c>
      <c r="B117" s="60" t="s">
        <v>17</v>
      </c>
      <c r="C117" s="10" t="str">
        <f>"64317/17"</f>
        <v>64317/17</v>
      </c>
      <c r="D117" s="56">
        <v>42895</v>
      </c>
      <c r="E117" s="56">
        <v>44721</v>
      </c>
      <c r="F117" s="8">
        <v>102188.59</v>
      </c>
      <c r="G117" s="8">
        <v>127735.74</v>
      </c>
      <c r="H117" s="56">
        <v>43100</v>
      </c>
      <c r="I117" s="37">
        <v>766414.42500000005</v>
      </c>
      <c r="J117" s="71"/>
      <c r="L117" s="112"/>
      <c r="M117" s="112"/>
    </row>
    <row r="118" spans="1:13" x14ac:dyDescent="0.25">
      <c r="A118" s="1">
        <v>8</v>
      </c>
      <c r="B118" s="60" t="s">
        <v>17</v>
      </c>
      <c r="C118" s="10" t="str">
        <f>"64316/17"</f>
        <v>64316/17</v>
      </c>
      <c r="D118" s="56">
        <v>42895</v>
      </c>
      <c r="E118" s="56">
        <v>44721</v>
      </c>
      <c r="F118" s="8">
        <v>102188.59</v>
      </c>
      <c r="G118" s="8">
        <v>127735.74</v>
      </c>
      <c r="H118" s="56">
        <v>43100</v>
      </c>
      <c r="I118" s="37">
        <v>766414.42500000005</v>
      </c>
      <c r="J118" s="71"/>
      <c r="L118" s="112"/>
      <c r="M118" s="112"/>
    </row>
    <row r="119" spans="1:13" x14ac:dyDescent="0.25">
      <c r="A119" s="1">
        <v>9</v>
      </c>
      <c r="B119" s="60" t="s">
        <v>17</v>
      </c>
      <c r="C119" s="10" t="str">
        <f>"64315/17"</f>
        <v>64315/17</v>
      </c>
      <c r="D119" s="56">
        <v>42895</v>
      </c>
      <c r="E119" s="56">
        <v>44721</v>
      </c>
      <c r="F119" s="8">
        <v>102188.59</v>
      </c>
      <c r="G119" s="8">
        <v>127735.74</v>
      </c>
      <c r="H119" s="56">
        <v>43100</v>
      </c>
      <c r="I119" s="37">
        <v>766414.42500000005</v>
      </c>
      <c r="J119" s="71"/>
      <c r="L119" s="112"/>
      <c r="M119" s="112"/>
    </row>
    <row r="120" spans="1:13" x14ac:dyDescent="0.25">
      <c r="A120" s="1">
        <v>10</v>
      </c>
      <c r="B120" s="60" t="s">
        <v>17</v>
      </c>
      <c r="C120" s="10" t="str">
        <f>"64322/17"</f>
        <v>64322/17</v>
      </c>
      <c r="D120" s="56">
        <v>42895</v>
      </c>
      <c r="E120" s="56">
        <v>44721</v>
      </c>
      <c r="F120" s="8">
        <v>102188.59</v>
      </c>
      <c r="G120" s="8">
        <v>127735.74</v>
      </c>
      <c r="H120" s="56">
        <v>43100</v>
      </c>
      <c r="I120" s="37">
        <v>766414.42500000005</v>
      </c>
      <c r="J120" s="71"/>
      <c r="L120" s="112"/>
      <c r="M120" s="112"/>
    </row>
    <row r="121" spans="1:13" x14ac:dyDescent="0.25">
      <c r="A121" s="1">
        <v>11</v>
      </c>
      <c r="B121" s="60" t="s">
        <v>17</v>
      </c>
      <c r="C121" s="10" t="str">
        <f>"64299/17"</f>
        <v>64299/17</v>
      </c>
      <c r="D121" s="56">
        <v>42895</v>
      </c>
      <c r="E121" s="56">
        <v>44721</v>
      </c>
      <c r="F121" s="8">
        <v>102188.59</v>
      </c>
      <c r="G121" s="8">
        <v>127735.74</v>
      </c>
      <c r="H121" s="56">
        <v>43100</v>
      </c>
      <c r="I121" s="37">
        <v>766414.42500000005</v>
      </c>
      <c r="J121" s="71"/>
      <c r="L121" s="112"/>
      <c r="M121" s="112"/>
    </row>
    <row r="122" spans="1:13" x14ac:dyDescent="0.25">
      <c r="A122" s="1">
        <v>12</v>
      </c>
      <c r="B122" s="60" t="s">
        <v>17</v>
      </c>
      <c r="C122" s="10" t="str">
        <f>"64314/17"</f>
        <v>64314/17</v>
      </c>
      <c r="D122" s="56">
        <v>42895</v>
      </c>
      <c r="E122" s="56">
        <v>44721</v>
      </c>
      <c r="F122" s="8">
        <v>102188.59</v>
      </c>
      <c r="G122" s="8">
        <v>127735.74</v>
      </c>
      <c r="H122" s="56">
        <v>43100</v>
      </c>
      <c r="I122" s="37">
        <v>766414.42500000005</v>
      </c>
      <c r="J122" s="71"/>
      <c r="L122" s="112"/>
      <c r="M122" s="112"/>
    </row>
    <row r="123" spans="1:13" x14ac:dyDescent="0.25">
      <c r="A123" s="1">
        <v>13</v>
      </c>
      <c r="B123" s="60" t="s">
        <v>17</v>
      </c>
      <c r="C123" s="10" t="str">
        <f>"64313/17"</f>
        <v>64313/17</v>
      </c>
      <c r="D123" s="56">
        <v>42895</v>
      </c>
      <c r="E123" s="56">
        <v>44721</v>
      </c>
      <c r="F123" s="8">
        <v>102188.59</v>
      </c>
      <c r="G123" s="8">
        <v>127735.74</v>
      </c>
      <c r="H123" s="56">
        <v>43100</v>
      </c>
      <c r="I123" s="37">
        <v>766414.42500000005</v>
      </c>
      <c r="J123" s="71"/>
      <c r="L123" s="112"/>
      <c r="M123" s="112"/>
    </row>
    <row r="124" spans="1:13" x14ac:dyDescent="0.25">
      <c r="A124" s="1">
        <v>14</v>
      </c>
      <c r="B124" s="60" t="s">
        <v>17</v>
      </c>
      <c r="C124" s="10" t="str">
        <f>"64312/17"</f>
        <v>64312/17</v>
      </c>
      <c r="D124" s="56">
        <v>42895</v>
      </c>
      <c r="E124" s="56">
        <v>44721</v>
      </c>
      <c r="F124" s="8">
        <v>102188.59</v>
      </c>
      <c r="G124" s="8">
        <v>127735.74</v>
      </c>
      <c r="H124" s="56">
        <v>43100</v>
      </c>
      <c r="I124" s="37">
        <v>766414.42500000005</v>
      </c>
      <c r="J124" s="71"/>
      <c r="L124" s="112"/>
      <c r="M124" s="112"/>
    </row>
    <row r="125" spans="1:13" x14ac:dyDescent="0.25">
      <c r="A125" s="1">
        <v>15</v>
      </c>
      <c r="B125" s="60" t="s">
        <v>17</v>
      </c>
      <c r="C125" s="10" t="str">
        <f>"64311/17"</f>
        <v>64311/17</v>
      </c>
      <c r="D125" s="56">
        <v>42895</v>
      </c>
      <c r="E125" s="56">
        <v>44721</v>
      </c>
      <c r="F125" s="8">
        <v>102188.59</v>
      </c>
      <c r="G125" s="8">
        <v>127735.74</v>
      </c>
      <c r="H125" s="56">
        <v>43100</v>
      </c>
      <c r="I125" s="37">
        <v>766414.42500000005</v>
      </c>
      <c r="J125" s="71"/>
      <c r="L125" s="112"/>
      <c r="M125" s="112"/>
    </row>
    <row r="126" spans="1:13" x14ac:dyDescent="0.25">
      <c r="A126" s="1">
        <v>16</v>
      </c>
      <c r="B126" s="60" t="s">
        <v>17</v>
      </c>
      <c r="C126" s="10" t="str">
        <f>"64310/17"</f>
        <v>64310/17</v>
      </c>
      <c r="D126" s="56">
        <v>42895</v>
      </c>
      <c r="E126" s="56">
        <v>44721</v>
      </c>
      <c r="F126" s="8">
        <v>102188.59</v>
      </c>
      <c r="G126" s="8">
        <v>127735.74</v>
      </c>
      <c r="H126" s="56">
        <v>43100</v>
      </c>
      <c r="I126" s="37">
        <v>766414.42500000005</v>
      </c>
      <c r="J126" s="71"/>
      <c r="L126" s="112"/>
      <c r="M126" s="112"/>
    </row>
    <row r="127" spans="1:13" x14ac:dyDescent="0.25">
      <c r="A127" s="1">
        <v>17</v>
      </c>
      <c r="B127" s="60" t="s">
        <v>17</v>
      </c>
      <c r="C127" s="10" t="str">
        <f>"64306/17"</f>
        <v>64306/17</v>
      </c>
      <c r="D127" s="56">
        <v>42895</v>
      </c>
      <c r="E127" s="56">
        <v>44721</v>
      </c>
      <c r="F127" s="8">
        <v>102188.59</v>
      </c>
      <c r="G127" s="8">
        <v>127735.74</v>
      </c>
      <c r="H127" s="56">
        <v>43100</v>
      </c>
      <c r="I127" s="37">
        <v>766414.42500000005</v>
      </c>
      <c r="J127" s="71"/>
      <c r="L127" s="112"/>
      <c r="M127" s="112"/>
    </row>
    <row r="128" spans="1:13" x14ac:dyDescent="0.25">
      <c r="A128" s="1">
        <v>18</v>
      </c>
      <c r="B128" s="60" t="s">
        <v>17</v>
      </c>
      <c r="C128" s="10" t="str">
        <f>"64305/17"</f>
        <v>64305/17</v>
      </c>
      <c r="D128" s="56">
        <v>42895</v>
      </c>
      <c r="E128" s="56">
        <v>44721</v>
      </c>
      <c r="F128" s="8">
        <v>102188.59</v>
      </c>
      <c r="G128" s="8">
        <v>127735.74</v>
      </c>
      <c r="H128" s="56">
        <v>43100</v>
      </c>
      <c r="I128" s="37">
        <v>766414.42500000005</v>
      </c>
      <c r="J128" s="71"/>
      <c r="L128" s="112"/>
      <c r="M128" s="112"/>
    </row>
    <row r="129" spans="1:13" x14ac:dyDescent="0.25">
      <c r="A129" s="1">
        <v>19</v>
      </c>
      <c r="B129" s="60" t="s">
        <v>17</v>
      </c>
      <c r="C129" s="10" t="str">
        <f>"64304/17"</f>
        <v>64304/17</v>
      </c>
      <c r="D129" s="56">
        <v>42895</v>
      </c>
      <c r="E129" s="56">
        <v>44721</v>
      </c>
      <c r="F129" s="8">
        <v>102188.59</v>
      </c>
      <c r="G129" s="8">
        <v>127735.74</v>
      </c>
      <c r="H129" s="56">
        <v>43100</v>
      </c>
      <c r="I129" s="37">
        <v>766414.42500000005</v>
      </c>
      <c r="J129" s="71"/>
      <c r="L129" s="112"/>
      <c r="M129" s="112"/>
    </row>
    <row r="130" spans="1:13" x14ac:dyDescent="0.25">
      <c r="A130" s="1">
        <v>20</v>
      </c>
      <c r="B130" s="60" t="s">
        <v>17</v>
      </c>
      <c r="C130" s="10" t="str">
        <f>"64303/17"</f>
        <v>64303/17</v>
      </c>
      <c r="D130" s="56">
        <v>42895</v>
      </c>
      <c r="E130" s="56">
        <v>44721</v>
      </c>
      <c r="F130" s="8">
        <v>102188.59</v>
      </c>
      <c r="G130" s="8">
        <v>127735.74</v>
      </c>
      <c r="H130" s="56">
        <v>43100</v>
      </c>
      <c r="I130" s="37">
        <v>766414.42500000005</v>
      </c>
      <c r="J130" s="71"/>
      <c r="L130" s="112"/>
      <c r="M130" s="112"/>
    </row>
    <row r="131" spans="1:13" x14ac:dyDescent="0.25">
      <c r="A131" s="1">
        <v>21</v>
      </c>
      <c r="B131" s="60" t="s">
        <v>17</v>
      </c>
      <c r="C131" s="10" t="str">
        <f>"64302/17"</f>
        <v>64302/17</v>
      </c>
      <c r="D131" s="56">
        <v>42895</v>
      </c>
      <c r="E131" s="56">
        <v>42895</v>
      </c>
      <c r="F131" s="8">
        <v>102188.59</v>
      </c>
      <c r="G131" s="8">
        <v>127735.74</v>
      </c>
      <c r="H131" s="56">
        <v>43100</v>
      </c>
      <c r="I131" s="37">
        <v>766414.42500000005</v>
      </c>
      <c r="J131" s="71"/>
      <c r="L131" s="112"/>
      <c r="M131" s="112"/>
    </row>
    <row r="132" spans="1:13" x14ac:dyDescent="0.25">
      <c r="A132" s="1">
        <v>22</v>
      </c>
      <c r="B132" s="60" t="s">
        <v>17</v>
      </c>
      <c r="C132" s="10" t="str">
        <f>"64301/17"</f>
        <v>64301/17</v>
      </c>
      <c r="D132" s="56">
        <v>42895</v>
      </c>
      <c r="E132" s="56">
        <v>44721</v>
      </c>
      <c r="F132" s="8">
        <v>102188.59</v>
      </c>
      <c r="G132" s="8">
        <v>127735.74</v>
      </c>
      <c r="H132" s="56">
        <v>43100</v>
      </c>
      <c r="I132" s="37">
        <v>766414.42500000005</v>
      </c>
      <c r="J132" s="71"/>
      <c r="L132" s="112"/>
      <c r="M132" s="112"/>
    </row>
    <row r="133" spans="1:13" x14ac:dyDescent="0.25">
      <c r="A133" s="1">
        <v>23</v>
      </c>
      <c r="B133" s="60" t="s">
        <v>17</v>
      </c>
      <c r="C133" s="10" t="str">
        <f>"64297/17"</f>
        <v>64297/17</v>
      </c>
      <c r="D133" s="56">
        <v>42895</v>
      </c>
      <c r="E133" s="56">
        <v>44721</v>
      </c>
      <c r="F133" s="8">
        <v>102188.59</v>
      </c>
      <c r="G133" s="8">
        <v>127735.74</v>
      </c>
      <c r="H133" s="56">
        <v>43100</v>
      </c>
      <c r="I133" s="37">
        <v>766414.42500000005</v>
      </c>
      <c r="J133" s="71"/>
      <c r="L133" s="112"/>
      <c r="M133" s="112"/>
    </row>
    <row r="134" spans="1:13" x14ac:dyDescent="0.25">
      <c r="A134" s="1">
        <v>24</v>
      </c>
      <c r="B134" s="60" t="s">
        <v>17</v>
      </c>
      <c r="C134" s="10" t="str">
        <f>"64298/17"</f>
        <v>64298/17</v>
      </c>
      <c r="D134" s="56">
        <v>42895</v>
      </c>
      <c r="E134" s="56">
        <v>44721</v>
      </c>
      <c r="F134" s="8">
        <v>102188.59</v>
      </c>
      <c r="G134" s="8">
        <v>127735.74</v>
      </c>
      <c r="H134" s="56">
        <v>43100</v>
      </c>
      <c r="I134" s="37">
        <v>766414.42500000005</v>
      </c>
      <c r="J134" s="71"/>
      <c r="L134" s="112"/>
      <c r="M134" s="112"/>
    </row>
    <row r="135" spans="1:13" ht="36" x14ac:dyDescent="0.25">
      <c r="A135" s="1">
        <v>25</v>
      </c>
      <c r="B135" s="60" t="s">
        <v>97</v>
      </c>
      <c r="C135" s="10" t="str">
        <f>"022-03/17-02/54-GRUPA 4"</f>
        <v>022-03/17-02/54-GRUPA 4</v>
      </c>
      <c r="D135" s="56">
        <v>42885</v>
      </c>
      <c r="E135" s="56">
        <v>44711</v>
      </c>
      <c r="F135" s="8">
        <v>222276</v>
      </c>
      <c r="G135" s="8">
        <v>277845</v>
      </c>
      <c r="H135" s="56">
        <v>43100</v>
      </c>
      <c r="I135" s="37">
        <v>170642.75</v>
      </c>
      <c r="J135" s="71"/>
      <c r="L135" s="112"/>
      <c r="M135" s="112"/>
    </row>
    <row r="136" spans="1:13" ht="24" x14ac:dyDescent="0.25">
      <c r="A136" s="1">
        <v>26</v>
      </c>
      <c r="B136" s="60" t="s">
        <v>185</v>
      </c>
      <c r="C136" s="10" t="str">
        <f>"MIZ 10/2015-4 - 3 VOZILA"</f>
        <v>MIZ 10/2015-4 - 3 VOZILA</v>
      </c>
      <c r="D136" s="56">
        <v>42885</v>
      </c>
      <c r="E136" s="56">
        <v>42885</v>
      </c>
      <c r="F136" s="8">
        <v>201784.5</v>
      </c>
      <c r="G136" s="8">
        <v>250053.75</v>
      </c>
      <c r="H136" s="56">
        <v>43008</v>
      </c>
      <c r="I136" s="37">
        <v>12401.4625</v>
      </c>
      <c r="J136" s="71"/>
      <c r="L136" s="112"/>
      <c r="M136" s="112"/>
    </row>
    <row r="137" spans="1:13" ht="24" x14ac:dyDescent="0.25">
      <c r="A137" s="1">
        <v>27</v>
      </c>
      <c r="B137" s="60" t="s">
        <v>203</v>
      </c>
      <c r="C137" s="10" t="str">
        <f>"62310/17"</f>
        <v>62310/17</v>
      </c>
      <c r="D137" s="56">
        <v>42877</v>
      </c>
      <c r="E137" s="56">
        <v>44703</v>
      </c>
      <c r="F137" s="8">
        <v>78856.88</v>
      </c>
      <c r="G137" s="8">
        <v>98571.1</v>
      </c>
      <c r="H137" s="56">
        <v>43100</v>
      </c>
      <c r="I137" s="37">
        <v>6531.8249999999998</v>
      </c>
      <c r="J137" s="71"/>
      <c r="L137" s="112"/>
      <c r="M137" s="112"/>
    </row>
    <row r="138" spans="1:13" ht="24" x14ac:dyDescent="0.25">
      <c r="A138" s="1">
        <v>28</v>
      </c>
      <c r="B138" s="60" t="s">
        <v>199</v>
      </c>
      <c r="C138" s="10" t="str">
        <f>"10/2015-4_MHB2"</f>
        <v>10/2015-4_MHB2</v>
      </c>
      <c r="D138" s="56">
        <v>42859</v>
      </c>
      <c r="E138" s="56">
        <v>44685</v>
      </c>
      <c r="F138" s="8">
        <v>134725.20000000001</v>
      </c>
      <c r="G138" s="8">
        <v>168406.5</v>
      </c>
      <c r="H138" s="56">
        <v>43100</v>
      </c>
      <c r="I138" s="37">
        <v>10753.362500000001</v>
      </c>
      <c r="J138" s="71"/>
      <c r="L138" s="112"/>
      <c r="M138" s="112"/>
    </row>
    <row r="139" spans="1:13" ht="24" x14ac:dyDescent="0.25">
      <c r="A139" s="1">
        <v>29</v>
      </c>
      <c r="B139" s="60" t="s">
        <v>199</v>
      </c>
      <c r="C139" s="10" t="str">
        <f>"10/2015-4_MHB"</f>
        <v>10/2015-4_MHB</v>
      </c>
      <c r="D139" s="56">
        <v>42859</v>
      </c>
      <c r="E139" s="56">
        <v>44685</v>
      </c>
      <c r="F139" s="8">
        <v>134725.20000000001</v>
      </c>
      <c r="G139" s="8">
        <v>168406.5</v>
      </c>
      <c r="H139" s="56">
        <v>43100</v>
      </c>
      <c r="I139" s="37">
        <v>10753.362500000001</v>
      </c>
      <c r="J139" s="71"/>
      <c r="L139" s="112"/>
      <c r="M139" s="112"/>
    </row>
    <row r="140" spans="1:13" ht="36" x14ac:dyDescent="0.25">
      <c r="A140" s="1">
        <v>30</v>
      </c>
      <c r="B140" s="60" t="s">
        <v>209</v>
      </c>
      <c r="C140" s="10" t="str">
        <f>"DHMZ-HYUNDAI 3 KOM"</f>
        <v>DHMZ-HYUNDAI 3 KOM</v>
      </c>
      <c r="D140" s="56">
        <v>42851</v>
      </c>
      <c r="E140" s="56">
        <v>44677</v>
      </c>
      <c r="F140" s="8">
        <v>266931.98</v>
      </c>
      <c r="G140" s="8">
        <v>333664.98</v>
      </c>
      <c r="H140" s="56">
        <v>43100</v>
      </c>
      <c r="I140" s="37">
        <v>47085.637500000004</v>
      </c>
      <c r="J140" s="71"/>
      <c r="L140" s="112"/>
      <c r="M140" s="112"/>
    </row>
    <row r="141" spans="1:13" x14ac:dyDescent="0.25">
      <c r="A141" s="1">
        <v>31</v>
      </c>
      <c r="B141" s="60" t="s">
        <v>17</v>
      </c>
      <c r="C141" s="10" t="str">
        <f>"61398/17"</f>
        <v>61398/17</v>
      </c>
      <c r="D141" s="56">
        <v>42844</v>
      </c>
      <c r="E141" s="56">
        <v>44670</v>
      </c>
      <c r="F141" s="8">
        <v>105085.65</v>
      </c>
      <c r="G141" s="8">
        <v>131357.06</v>
      </c>
      <c r="H141" s="56">
        <v>43100</v>
      </c>
      <c r="I141" s="37">
        <v>1050856.5</v>
      </c>
      <c r="J141" s="71"/>
      <c r="L141" s="112"/>
      <c r="M141" s="112"/>
    </row>
    <row r="142" spans="1:13" x14ac:dyDescent="0.25">
      <c r="A142" s="1">
        <v>32</v>
      </c>
      <c r="B142" s="60" t="s">
        <v>17</v>
      </c>
      <c r="C142" s="10" t="str">
        <f>"61397/17"</f>
        <v>61397/17</v>
      </c>
      <c r="D142" s="56">
        <v>42844</v>
      </c>
      <c r="E142" s="56">
        <v>44670</v>
      </c>
      <c r="F142" s="8">
        <v>105085.65</v>
      </c>
      <c r="G142" s="8">
        <v>131357.06</v>
      </c>
      <c r="H142" s="56">
        <v>43100</v>
      </c>
      <c r="I142" s="37">
        <v>1050856.5</v>
      </c>
      <c r="J142" s="71"/>
      <c r="L142" s="112"/>
      <c r="M142" s="112"/>
    </row>
    <row r="143" spans="1:13" x14ac:dyDescent="0.25">
      <c r="A143" s="1">
        <v>33</v>
      </c>
      <c r="B143" s="60" t="s">
        <v>17</v>
      </c>
      <c r="C143" s="10" t="str">
        <f>"61396/17"</f>
        <v>61396/17</v>
      </c>
      <c r="D143" s="56">
        <v>42844</v>
      </c>
      <c r="E143" s="56">
        <v>44670</v>
      </c>
      <c r="F143" s="8">
        <v>105085.65</v>
      </c>
      <c r="G143" s="8">
        <v>131357.06</v>
      </c>
      <c r="H143" s="56">
        <v>43100</v>
      </c>
      <c r="I143" s="37">
        <v>1050856.5</v>
      </c>
      <c r="J143" s="71"/>
      <c r="L143" s="112"/>
      <c r="M143" s="112"/>
    </row>
    <row r="144" spans="1:13" x14ac:dyDescent="0.25">
      <c r="A144" s="1">
        <v>34</v>
      </c>
      <c r="B144" s="60" t="s">
        <v>17</v>
      </c>
      <c r="C144" s="10" t="str">
        <f>"61395/17"</f>
        <v>61395/17</v>
      </c>
      <c r="D144" s="56">
        <v>42844</v>
      </c>
      <c r="E144" s="56">
        <v>44670</v>
      </c>
      <c r="F144" s="8">
        <v>105085.65</v>
      </c>
      <c r="G144" s="8">
        <v>131357.06</v>
      </c>
      <c r="H144" s="56">
        <v>43100</v>
      </c>
      <c r="I144" s="37">
        <v>1050856.5</v>
      </c>
      <c r="J144" s="71"/>
      <c r="L144" s="112"/>
      <c r="M144" s="112"/>
    </row>
    <row r="145" spans="1:14" x14ac:dyDescent="0.25">
      <c r="A145" s="1">
        <v>35</v>
      </c>
      <c r="B145" s="60" t="s">
        <v>17</v>
      </c>
      <c r="C145" s="10" t="str">
        <f>"61399/17"</f>
        <v>61399/17</v>
      </c>
      <c r="D145" s="56">
        <v>42844</v>
      </c>
      <c r="E145" s="56">
        <v>44670</v>
      </c>
      <c r="F145" s="8">
        <v>105085.65</v>
      </c>
      <c r="G145" s="8">
        <v>131357.06</v>
      </c>
      <c r="H145" s="56">
        <v>43100</v>
      </c>
      <c r="I145" s="37">
        <v>1050856.5</v>
      </c>
      <c r="J145" s="71"/>
      <c r="L145" s="112"/>
      <c r="M145" s="112"/>
    </row>
    <row r="146" spans="1:14" x14ac:dyDescent="0.25">
      <c r="A146" s="1">
        <v>36</v>
      </c>
      <c r="B146" s="60" t="s">
        <v>17</v>
      </c>
      <c r="C146" s="10" t="str">
        <f>"61402/17"</f>
        <v>61402/17</v>
      </c>
      <c r="D146" s="56">
        <v>42844</v>
      </c>
      <c r="E146" s="56">
        <v>44670</v>
      </c>
      <c r="F146" s="8">
        <v>105085.65</v>
      </c>
      <c r="G146" s="8">
        <v>131357.06</v>
      </c>
      <c r="H146" s="56">
        <v>43100</v>
      </c>
      <c r="I146" s="37">
        <v>1050856.5</v>
      </c>
      <c r="J146" s="71"/>
      <c r="L146" s="112"/>
      <c r="M146" s="112"/>
    </row>
    <row r="147" spans="1:14" x14ac:dyDescent="0.25">
      <c r="A147" s="1">
        <v>37</v>
      </c>
      <c r="B147" s="60" t="s">
        <v>17</v>
      </c>
      <c r="C147" s="10" t="str">
        <f>"61401/17"</f>
        <v>61401/17</v>
      </c>
      <c r="D147" s="56">
        <v>42844</v>
      </c>
      <c r="E147" s="56">
        <v>44670</v>
      </c>
      <c r="F147" s="8">
        <v>105085.65</v>
      </c>
      <c r="G147" s="8">
        <v>131357.06</v>
      </c>
      <c r="H147" s="56">
        <v>43100</v>
      </c>
      <c r="I147" s="37">
        <v>1050856.5</v>
      </c>
      <c r="J147" s="71"/>
      <c r="L147" s="112"/>
      <c r="M147" s="112"/>
    </row>
    <row r="148" spans="1:14" x14ac:dyDescent="0.25">
      <c r="A148" s="1">
        <v>38</v>
      </c>
      <c r="B148" s="60" t="s">
        <v>17</v>
      </c>
      <c r="C148" s="10" t="str">
        <f>"61400/17"</f>
        <v>61400/17</v>
      </c>
      <c r="D148" s="56">
        <v>42844</v>
      </c>
      <c r="E148" s="56">
        <v>44670</v>
      </c>
      <c r="F148" s="8">
        <v>105085.65</v>
      </c>
      <c r="G148" s="8">
        <v>131357.06</v>
      </c>
      <c r="H148" s="56">
        <v>43100</v>
      </c>
      <c r="I148" s="37">
        <v>1050856.5</v>
      </c>
      <c r="J148" s="71"/>
      <c r="L148" s="112"/>
      <c r="M148" s="112"/>
    </row>
    <row r="149" spans="1:14" ht="24" x14ac:dyDescent="0.25">
      <c r="A149" s="1">
        <v>39</v>
      </c>
      <c r="B149" s="60" t="s">
        <v>193</v>
      </c>
      <c r="C149" s="10" t="str">
        <f>"14-5-17-6 (61388/17)"</f>
        <v>14-5-17-6 (61388/17)</v>
      </c>
      <c r="D149" s="56">
        <v>42837</v>
      </c>
      <c r="E149" s="56">
        <v>44711</v>
      </c>
      <c r="F149" s="8">
        <v>10251</v>
      </c>
      <c r="G149" s="8">
        <v>12721.8</v>
      </c>
      <c r="H149" s="56">
        <v>43100</v>
      </c>
      <c r="I149" s="37">
        <v>11020.1875</v>
      </c>
      <c r="J149" s="71"/>
      <c r="L149" s="112"/>
      <c r="M149" s="112"/>
    </row>
    <row r="150" spans="1:14" ht="24" x14ac:dyDescent="0.25">
      <c r="A150" s="1">
        <v>40</v>
      </c>
      <c r="B150" s="60" t="s">
        <v>193</v>
      </c>
      <c r="C150" s="10" t="str">
        <f>"14-5-17-5 (61387/17)"</f>
        <v>14-5-17-5 (61387/17)</v>
      </c>
      <c r="D150" s="56">
        <v>42837</v>
      </c>
      <c r="E150" s="56">
        <v>44711</v>
      </c>
      <c r="F150" s="8">
        <v>10251</v>
      </c>
      <c r="G150" s="8">
        <v>12721.8</v>
      </c>
      <c r="H150" s="56">
        <v>43100</v>
      </c>
      <c r="I150" s="37">
        <v>11020.1875</v>
      </c>
      <c r="J150" s="71"/>
      <c r="L150" s="112"/>
      <c r="M150" s="112"/>
    </row>
    <row r="151" spans="1:14" ht="24" x14ac:dyDescent="0.25">
      <c r="A151" s="1">
        <v>41</v>
      </c>
      <c r="B151" s="60" t="s">
        <v>193</v>
      </c>
      <c r="C151" s="10" t="str">
        <f>"14-5-17-4 (61386/17)"</f>
        <v>14-5-17-4 (61386/17)</v>
      </c>
      <c r="D151" s="56">
        <v>42837</v>
      </c>
      <c r="E151" s="56">
        <v>44711</v>
      </c>
      <c r="F151" s="8">
        <v>10251</v>
      </c>
      <c r="G151" s="8">
        <v>12721.8</v>
      </c>
      <c r="H151" s="56">
        <v>43100</v>
      </c>
      <c r="I151" s="37">
        <v>11020.1875</v>
      </c>
      <c r="J151" s="71"/>
      <c r="L151" s="112"/>
      <c r="M151" s="112"/>
    </row>
    <row r="152" spans="1:14" ht="24" x14ac:dyDescent="0.25">
      <c r="A152" s="1">
        <v>42</v>
      </c>
      <c r="B152" s="60" t="s">
        <v>193</v>
      </c>
      <c r="C152" s="10" t="str">
        <f>"14-5-17-3 (61385/17)"</f>
        <v>14-5-17-3 (61385/17)</v>
      </c>
      <c r="D152" s="56">
        <v>42837</v>
      </c>
      <c r="E152" s="56">
        <v>44711</v>
      </c>
      <c r="F152" s="8">
        <v>10251</v>
      </c>
      <c r="G152" s="8">
        <v>12721.8</v>
      </c>
      <c r="H152" s="56">
        <v>43100</v>
      </c>
      <c r="I152" s="37">
        <v>11020.1875</v>
      </c>
      <c r="J152" s="71"/>
      <c r="L152" s="112"/>
      <c r="M152" s="112"/>
    </row>
    <row r="153" spans="1:14" ht="24" x14ac:dyDescent="0.25">
      <c r="A153" s="1">
        <v>43</v>
      </c>
      <c r="B153" s="60" t="s">
        <v>193</v>
      </c>
      <c r="C153" s="10" t="str">
        <f>"14-5-17-7 (61389/17)"</f>
        <v>14-5-17-7 (61389/17)</v>
      </c>
      <c r="D153" s="56">
        <v>42837</v>
      </c>
      <c r="E153" s="56">
        <v>44711</v>
      </c>
      <c r="F153" s="8">
        <v>10251</v>
      </c>
      <c r="G153" s="8">
        <v>12721.8</v>
      </c>
      <c r="H153" s="56">
        <v>43100</v>
      </c>
      <c r="I153" s="37">
        <v>11020.1875</v>
      </c>
      <c r="J153" s="71"/>
      <c r="L153" s="112"/>
      <c r="M153" s="112"/>
    </row>
    <row r="154" spans="1:14" ht="24" x14ac:dyDescent="0.25">
      <c r="A154" s="1">
        <v>44</v>
      </c>
      <c r="B154" s="60" t="s">
        <v>193</v>
      </c>
      <c r="C154" s="10" t="str">
        <f>"14-5-17-1 (61382-17)"</f>
        <v>14-5-17-1 (61382-17)</v>
      </c>
      <c r="D154" s="56">
        <v>42837</v>
      </c>
      <c r="E154" s="56">
        <v>44711</v>
      </c>
      <c r="F154" s="8">
        <v>10251</v>
      </c>
      <c r="G154" s="8">
        <v>12721.8</v>
      </c>
      <c r="H154" s="56">
        <v>43100</v>
      </c>
      <c r="I154" s="37">
        <v>11020.1875</v>
      </c>
      <c r="J154" s="71"/>
      <c r="L154" s="112"/>
      <c r="M154" s="112"/>
    </row>
    <row r="155" spans="1:14" ht="24" x14ac:dyDescent="0.25">
      <c r="A155" s="1">
        <v>45</v>
      </c>
      <c r="B155" s="60" t="s">
        <v>193</v>
      </c>
      <c r="C155" s="10" t="str">
        <f>"14-5-17-2 (63384/17)"</f>
        <v>14-5-17-2 (63384/17)</v>
      </c>
      <c r="D155" s="56">
        <v>42837</v>
      </c>
      <c r="E155" s="56">
        <v>44711</v>
      </c>
      <c r="F155" s="8">
        <v>10251</v>
      </c>
      <c r="G155" s="8">
        <v>12721.8</v>
      </c>
      <c r="H155" s="56">
        <v>43100</v>
      </c>
      <c r="I155" s="37">
        <v>11020.1875</v>
      </c>
      <c r="J155" s="71"/>
      <c r="L155" s="112"/>
      <c r="M155" s="112"/>
    </row>
    <row r="156" spans="1:14" ht="24" x14ac:dyDescent="0.25">
      <c r="A156" s="1">
        <v>46</v>
      </c>
      <c r="B156" s="60" t="s">
        <v>190</v>
      </c>
      <c r="C156" s="10" t="str">
        <f>"61057/17"</f>
        <v>61057/17</v>
      </c>
      <c r="D156" s="56">
        <v>42837</v>
      </c>
      <c r="E156" s="56">
        <v>44607</v>
      </c>
      <c r="F156" s="8">
        <v>70551.7</v>
      </c>
      <c r="G156" s="8">
        <v>88189.63</v>
      </c>
      <c r="H156" s="56">
        <v>43100</v>
      </c>
      <c r="I156" s="37">
        <v>11807.725</v>
      </c>
      <c r="J156" s="71"/>
      <c r="L156" s="112"/>
      <c r="M156" s="112"/>
    </row>
    <row r="157" spans="1:14" x14ac:dyDescent="0.25">
      <c r="A157" s="1">
        <v>47</v>
      </c>
      <c r="B157" s="60" t="s">
        <v>278</v>
      </c>
      <c r="C157" s="10" t="str">
        <f>"78/2017."</f>
        <v>78/2017.</v>
      </c>
      <c r="D157" s="56">
        <v>42830</v>
      </c>
      <c r="E157" s="56">
        <v>44656</v>
      </c>
      <c r="F157" s="8">
        <v>9116.4</v>
      </c>
      <c r="G157" s="8">
        <v>11308.2</v>
      </c>
      <c r="H157" s="56">
        <v>43100</v>
      </c>
      <c r="I157" s="37">
        <v>7833.4124999999995</v>
      </c>
      <c r="J157" s="71"/>
      <c r="L157" s="112"/>
      <c r="M157" s="112"/>
    </row>
    <row r="158" spans="1:14" x14ac:dyDescent="0.25">
      <c r="A158" s="1">
        <v>48</v>
      </c>
      <c r="B158" s="60" t="s">
        <v>278</v>
      </c>
      <c r="C158" s="10" t="str">
        <f>"77/2017."</f>
        <v>77/2017.</v>
      </c>
      <c r="D158" s="56">
        <v>42830</v>
      </c>
      <c r="E158" s="56">
        <v>44656</v>
      </c>
      <c r="F158" s="8">
        <v>9116.4</v>
      </c>
      <c r="G158" s="8">
        <v>11308.2</v>
      </c>
      <c r="H158" s="56">
        <v>43100</v>
      </c>
      <c r="I158" s="37">
        <v>7833.4124999999995</v>
      </c>
      <c r="J158" s="71"/>
      <c r="L158" s="112"/>
      <c r="M158" s="112"/>
    </row>
    <row r="159" spans="1:14" ht="7.5" customHeight="1" x14ac:dyDescent="0.25">
      <c r="A159" s="32"/>
      <c r="B159" s="28"/>
      <c r="C159" s="29"/>
      <c r="D159" s="29"/>
      <c r="E159" s="30"/>
      <c r="F159" s="30"/>
      <c r="G159" s="21"/>
      <c r="H159" s="30"/>
      <c r="I159" s="21"/>
      <c r="J159" s="21"/>
      <c r="K159" s="31"/>
    </row>
    <row r="160" spans="1:14" x14ac:dyDescent="0.25">
      <c r="A160" s="175" t="s">
        <v>45</v>
      </c>
      <c r="B160" s="175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</row>
    <row r="161" spans="1:14" ht="36" x14ac:dyDescent="0.25">
      <c r="A161" s="53" t="s">
        <v>0</v>
      </c>
      <c r="B161" s="54" t="s">
        <v>1</v>
      </c>
      <c r="C161" s="54" t="s">
        <v>3</v>
      </c>
      <c r="D161" s="178" t="s">
        <v>171</v>
      </c>
      <c r="E161" s="178"/>
      <c r="F161" s="54" t="s">
        <v>166</v>
      </c>
      <c r="G161" s="54" t="s">
        <v>170</v>
      </c>
      <c r="H161" s="54" t="s">
        <v>167</v>
      </c>
      <c r="I161" s="54" t="s">
        <v>4</v>
      </c>
      <c r="J161" s="54" t="s">
        <v>5</v>
      </c>
      <c r="K161" s="54" t="s">
        <v>2</v>
      </c>
      <c r="L161" s="54" t="s">
        <v>172</v>
      </c>
      <c r="M161" s="54" t="s">
        <v>173</v>
      </c>
      <c r="N161" s="54" t="s">
        <v>169</v>
      </c>
    </row>
    <row r="162" spans="1:14" ht="36" x14ac:dyDescent="0.25">
      <c r="A162" s="1">
        <v>1</v>
      </c>
      <c r="B162" s="13" t="s">
        <v>55</v>
      </c>
      <c r="C162" s="14" t="s">
        <v>111</v>
      </c>
      <c r="D162" s="179" t="s">
        <v>1026</v>
      </c>
      <c r="E162" s="180"/>
      <c r="F162" s="1" t="s">
        <v>165</v>
      </c>
      <c r="G162" s="1">
        <v>34100000</v>
      </c>
      <c r="H162" s="1" t="s">
        <v>15</v>
      </c>
      <c r="I162" s="15" t="s">
        <v>161</v>
      </c>
      <c r="J162" s="1" t="s">
        <v>56</v>
      </c>
      <c r="K162" s="8">
        <v>1559973.49</v>
      </c>
      <c r="L162" s="8">
        <f>K162*0.25</f>
        <v>389993.3725</v>
      </c>
      <c r="M162" s="8">
        <f>K162+L162</f>
        <v>1949966.8625</v>
      </c>
      <c r="N162" s="176"/>
    </row>
    <row r="163" spans="1:14" ht="15" customHeight="1" x14ac:dyDescent="0.25">
      <c r="A163" s="177" t="s">
        <v>1012</v>
      </c>
      <c r="B163" s="177"/>
      <c r="C163" s="177"/>
      <c r="D163" s="177"/>
      <c r="E163" s="177"/>
      <c r="F163" s="177"/>
      <c r="G163" s="177"/>
      <c r="H163" s="177"/>
      <c r="I163" s="177"/>
      <c r="J163" s="177"/>
      <c r="K163" s="177"/>
      <c r="L163" s="177"/>
      <c r="M163" s="24">
        <v>134947.26250000001</v>
      </c>
      <c r="N163" s="176"/>
    </row>
    <row r="164" spans="1:14" ht="7.5" customHeight="1" x14ac:dyDescent="0.25">
      <c r="L164" s="47"/>
    </row>
    <row r="165" spans="1:14" ht="15" customHeight="1" x14ac:dyDescent="0.25">
      <c r="A165" s="175" t="s">
        <v>12</v>
      </c>
      <c r="B165" s="175"/>
      <c r="C165" s="175"/>
      <c r="D165" s="175"/>
      <c r="E165" s="175"/>
      <c r="F165" s="175"/>
      <c r="G165" s="175"/>
      <c r="H165" s="175"/>
      <c r="I165" s="175"/>
      <c r="J165" s="175"/>
      <c r="K165" s="49"/>
      <c r="L165" s="49"/>
    </row>
    <row r="166" spans="1:14" ht="48" customHeight="1" x14ac:dyDescent="0.25">
      <c r="A166" s="2" t="s">
        <v>0</v>
      </c>
      <c r="B166" s="3" t="s">
        <v>7</v>
      </c>
      <c r="C166" s="3" t="s">
        <v>6</v>
      </c>
      <c r="D166" s="3" t="s">
        <v>8</v>
      </c>
      <c r="E166" s="3" t="s">
        <v>168</v>
      </c>
      <c r="F166" s="3" t="s">
        <v>174</v>
      </c>
      <c r="G166" s="3" t="s">
        <v>175</v>
      </c>
      <c r="H166" s="3" t="s">
        <v>9</v>
      </c>
      <c r="I166" s="3" t="s">
        <v>176</v>
      </c>
      <c r="J166" s="3" t="s">
        <v>10</v>
      </c>
      <c r="L166" s="48"/>
      <c r="M166" s="48"/>
    </row>
    <row r="167" spans="1:14" ht="24" customHeight="1" x14ac:dyDescent="0.25">
      <c r="A167" s="1">
        <v>1</v>
      </c>
      <c r="B167" s="9" t="s">
        <v>209</v>
      </c>
      <c r="C167" s="9" t="str">
        <f>"DHMZ-TUAREG-4 KOM"</f>
        <v>DHMZ-TUAREG-4 KOM</v>
      </c>
      <c r="D167" s="56">
        <v>42912</v>
      </c>
      <c r="E167" s="56">
        <v>44738</v>
      </c>
      <c r="F167" s="8">
        <v>1807112.7</v>
      </c>
      <c r="G167" s="8">
        <v>2258890.88</v>
      </c>
      <c r="H167" s="11">
        <v>43100</v>
      </c>
      <c r="I167" s="24">
        <v>134947.26250000001</v>
      </c>
      <c r="J167" s="8"/>
      <c r="L167" s="48"/>
      <c r="M167" s="112"/>
    </row>
    <row r="168" spans="1:14" ht="7.5" customHeight="1" x14ac:dyDescent="0.25">
      <c r="A168" s="1"/>
      <c r="B168" s="28"/>
      <c r="C168" s="29"/>
      <c r="D168" s="29"/>
      <c r="E168" s="30"/>
      <c r="F168" s="30"/>
      <c r="G168" s="21"/>
      <c r="H168" s="30"/>
      <c r="I168" s="21"/>
      <c r="J168" s="21"/>
      <c r="K168" s="31"/>
    </row>
    <row r="169" spans="1:14" x14ac:dyDescent="0.25">
      <c r="A169" s="175" t="s">
        <v>45</v>
      </c>
      <c r="B169" s="175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</row>
    <row r="170" spans="1:14" ht="36" x14ac:dyDescent="0.25">
      <c r="A170" s="53" t="s">
        <v>0</v>
      </c>
      <c r="B170" s="54" t="s">
        <v>1</v>
      </c>
      <c r="C170" s="54" t="s">
        <v>3</v>
      </c>
      <c r="D170" s="178" t="s">
        <v>171</v>
      </c>
      <c r="E170" s="178"/>
      <c r="F170" s="54" t="s">
        <v>166</v>
      </c>
      <c r="G170" s="54" t="s">
        <v>170</v>
      </c>
      <c r="H170" s="54" t="s">
        <v>167</v>
      </c>
      <c r="I170" s="54" t="s">
        <v>4</v>
      </c>
      <c r="J170" s="54" t="s">
        <v>5</v>
      </c>
      <c r="K170" s="54" t="s">
        <v>2</v>
      </c>
      <c r="L170" s="54" t="s">
        <v>172</v>
      </c>
      <c r="M170" s="54" t="s">
        <v>173</v>
      </c>
      <c r="N170" s="54" t="s">
        <v>169</v>
      </c>
    </row>
    <row r="171" spans="1:14" ht="36" x14ac:dyDescent="0.25">
      <c r="A171" s="1">
        <v>1</v>
      </c>
      <c r="B171" s="13" t="s">
        <v>55</v>
      </c>
      <c r="C171" s="14" t="s">
        <v>112</v>
      </c>
      <c r="D171" s="179" t="s">
        <v>1026</v>
      </c>
      <c r="E171" s="180"/>
      <c r="F171" s="1" t="s">
        <v>165</v>
      </c>
      <c r="G171" s="1">
        <v>34100000</v>
      </c>
      <c r="H171" s="1" t="s">
        <v>15</v>
      </c>
      <c r="I171" s="15" t="s">
        <v>161</v>
      </c>
      <c r="J171" s="1" t="s">
        <v>56</v>
      </c>
      <c r="K171" s="8">
        <v>8808224.0399999991</v>
      </c>
      <c r="L171" s="8">
        <f>K171*0.25</f>
        <v>2202056.0099999998</v>
      </c>
      <c r="M171" s="8">
        <f>K171+L171</f>
        <v>11010280.049999999</v>
      </c>
      <c r="N171" s="176"/>
    </row>
    <row r="172" spans="1:14" ht="15" customHeight="1" x14ac:dyDescent="0.25">
      <c r="A172" s="177" t="s">
        <v>1012</v>
      </c>
      <c r="B172" s="177"/>
      <c r="C172" s="177"/>
      <c r="D172" s="177"/>
      <c r="E172" s="177"/>
      <c r="F172" s="177"/>
      <c r="G172" s="177"/>
      <c r="H172" s="177"/>
      <c r="I172" s="177"/>
      <c r="J172" s="177"/>
      <c r="K172" s="177"/>
      <c r="L172" s="177"/>
      <c r="M172" s="8">
        <v>8353122.2800000003</v>
      </c>
      <c r="N172" s="176"/>
    </row>
    <row r="173" spans="1:14" ht="7.5" customHeight="1" x14ac:dyDescent="0.25">
      <c r="L173" s="47"/>
    </row>
    <row r="174" spans="1:14" ht="15" customHeight="1" x14ac:dyDescent="0.25">
      <c r="A174" s="175" t="s">
        <v>12</v>
      </c>
      <c r="B174" s="175"/>
      <c r="C174" s="175"/>
      <c r="D174" s="175"/>
      <c r="E174" s="175"/>
      <c r="F174" s="175"/>
      <c r="G174" s="175"/>
      <c r="H174" s="175"/>
      <c r="I174" s="175"/>
      <c r="J174" s="175"/>
      <c r="K174" s="49"/>
      <c r="L174" s="49"/>
    </row>
    <row r="175" spans="1:14" ht="48" customHeight="1" x14ac:dyDescent="0.25">
      <c r="A175" s="2" t="s">
        <v>0</v>
      </c>
      <c r="B175" s="3" t="s">
        <v>7</v>
      </c>
      <c r="C175" s="3" t="s">
        <v>6</v>
      </c>
      <c r="D175" s="3" t="s">
        <v>8</v>
      </c>
      <c r="E175" s="3" t="s">
        <v>168</v>
      </c>
      <c r="F175" s="3" t="s">
        <v>174</v>
      </c>
      <c r="G175" s="3" t="s">
        <v>175</v>
      </c>
      <c r="H175" s="3" t="s">
        <v>9</v>
      </c>
      <c r="I175" s="3" t="s">
        <v>176</v>
      </c>
      <c r="J175" s="3" t="s">
        <v>10</v>
      </c>
      <c r="L175" s="48"/>
      <c r="M175" s="48"/>
    </row>
    <row r="176" spans="1:14" ht="36" x14ac:dyDescent="0.25">
      <c r="A176" s="1">
        <v>1</v>
      </c>
      <c r="B176" s="60" t="s">
        <v>97</v>
      </c>
      <c r="C176" s="10" t="str">
        <f>"022-03/17-02/54-GRUPA 6.-WV"</f>
        <v>022-03/17-02/54-GRUPA 6.-WV</v>
      </c>
      <c r="D176" s="56">
        <v>42930</v>
      </c>
      <c r="E176" s="56">
        <v>44756</v>
      </c>
      <c r="F176" s="70">
        <v>19870.560000000001</v>
      </c>
      <c r="G176" s="70">
        <v>24838.2</v>
      </c>
      <c r="H176" s="56">
        <v>43100</v>
      </c>
      <c r="I176" s="37">
        <v>122357.6</v>
      </c>
      <c r="J176" s="71"/>
      <c r="L176" s="112"/>
    </row>
    <row r="177" spans="1:14" ht="36" x14ac:dyDescent="0.25">
      <c r="A177" s="1">
        <v>2</v>
      </c>
      <c r="B177" s="60" t="s">
        <v>209</v>
      </c>
      <c r="C177" s="10" t="str">
        <f>"DHMZ-TRANSPORTER-5 KOM"</f>
        <v>DHMZ-TRANSPORTER-5 KOM</v>
      </c>
      <c r="D177" s="56">
        <v>42912</v>
      </c>
      <c r="E177" s="56">
        <v>44738</v>
      </c>
      <c r="F177" s="70">
        <v>1178932.5</v>
      </c>
      <c r="G177" s="70">
        <v>1473665.63</v>
      </c>
      <c r="H177" s="56">
        <v>43100</v>
      </c>
      <c r="I177" s="37">
        <v>98231.450000000012</v>
      </c>
      <c r="J177" s="71"/>
      <c r="L177" s="112"/>
      <c r="M177" s="112"/>
    </row>
    <row r="178" spans="1:14" ht="24" x14ac:dyDescent="0.25">
      <c r="A178" s="1">
        <v>3</v>
      </c>
      <c r="B178" s="60" t="s">
        <v>193</v>
      </c>
      <c r="C178" s="10" t="str">
        <f>"14-5-17-8 (66910/17)"</f>
        <v>14-5-17-8 (66910/17)</v>
      </c>
      <c r="D178" s="56">
        <v>42906</v>
      </c>
      <c r="E178" s="56">
        <v>44742</v>
      </c>
      <c r="F178" s="70">
        <v>33247.800000000003</v>
      </c>
      <c r="G178" s="70">
        <v>39674.400000000001</v>
      </c>
      <c r="H178" s="56">
        <v>43100</v>
      </c>
      <c r="I178" s="37">
        <v>24708.425000000003</v>
      </c>
      <c r="J178" s="71"/>
      <c r="L178" s="112"/>
      <c r="M178" s="112"/>
    </row>
    <row r="179" spans="1:14" ht="24" x14ac:dyDescent="0.25">
      <c r="A179" s="1">
        <v>4</v>
      </c>
      <c r="B179" s="60" t="s">
        <v>199</v>
      </c>
      <c r="C179" s="10" t="str">
        <f>"10/2015-6_MHB"</f>
        <v>10/2015-6_MHB</v>
      </c>
      <c r="D179" s="56">
        <v>42846</v>
      </c>
      <c r="E179" s="56">
        <v>44672</v>
      </c>
      <c r="F179" s="70">
        <v>126967.5</v>
      </c>
      <c r="G179" s="70">
        <v>158709.38</v>
      </c>
      <c r="H179" s="56">
        <v>43100</v>
      </c>
      <c r="I179" s="37">
        <v>6406.6750000000002</v>
      </c>
      <c r="J179" s="71"/>
      <c r="L179" s="112"/>
      <c r="M179" s="112"/>
    </row>
    <row r="180" spans="1:14" x14ac:dyDescent="0.25">
      <c r="A180" s="1">
        <v>5</v>
      </c>
      <c r="B180" s="60" t="s">
        <v>17</v>
      </c>
      <c r="C180" s="10" t="str">
        <f>"61375/17"</f>
        <v>61375/17</v>
      </c>
      <c r="D180" s="56">
        <v>42844</v>
      </c>
      <c r="E180" s="56">
        <v>44670</v>
      </c>
      <c r="F180" s="70">
        <v>130267.8</v>
      </c>
      <c r="G180" s="70">
        <v>162834.75</v>
      </c>
      <c r="H180" s="56">
        <v>43100</v>
      </c>
      <c r="I180" s="37">
        <v>1302678</v>
      </c>
      <c r="J180" s="71"/>
      <c r="L180" s="112"/>
      <c r="M180" s="112"/>
    </row>
    <row r="181" spans="1:14" x14ac:dyDescent="0.25">
      <c r="A181" s="1">
        <v>6</v>
      </c>
      <c r="B181" s="60" t="s">
        <v>17</v>
      </c>
      <c r="C181" s="10" t="str">
        <f>"61376/17"</f>
        <v>61376/17</v>
      </c>
      <c r="D181" s="56">
        <v>42844</v>
      </c>
      <c r="E181" s="56">
        <v>44670</v>
      </c>
      <c r="F181" s="70">
        <v>130267.8</v>
      </c>
      <c r="G181" s="70">
        <v>162834.75</v>
      </c>
      <c r="H181" s="56">
        <v>43100</v>
      </c>
      <c r="I181" s="37">
        <v>1302678</v>
      </c>
      <c r="J181" s="71"/>
      <c r="L181" s="112"/>
      <c r="M181" s="112"/>
    </row>
    <row r="182" spans="1:14" x14ac:dyDescent="0.25">
      <c r="A182" s="1">
        <v>7</v>
      </c>
      <c r="B182" s="60" t="s">
        <v>17</v>
      </c>
      <c r="C182" s="10" t="str">
        <f>"61379/17"</f>
        <v>61379/17</v>
      </c>
      <c r="D182" s="56">
        <v>42844</v>
      </c>
      <c r="E182" s="56">
        <v>44670</v>
      </c>
      <c r="F182" s="70">
        <v>130267.8</v>
      </c>
      <c r="G182" s="70">
        <v>162834.75</v>
      </c>
      <c r="H182" s="56">
        <v>43100</v>
      </c>
      <c r="I182" s="37">
        <v>1302678</v>
      </c>
      <c r="J182" s="71"/>
      <c r="L182" s="112"/>
      <c r="M182" s="112"/>
    </row>
    <row r="183" spans="1:14" x14ac:dyDescent="0.25">
      <c r="A183" s="1">
        <v>8</v>
      </c>
      <c r="B183" s="60" t="s">
        <v>17</v>
      </c>
      <c r="C183" s="10" t="str">
        <f>"61377/17"</f>
        <v>61377/17</v>
      </c>
      <c r="D183" s="56">
        <v>42844</v>
      </c>
      <c r="E183" s="56">
        <v>44670</v>
      </c>
      <c r="F183" s="70">
        <v>130267.8</v>
      </c>
      <c r="G183" s="70">
        <v>162834.75</v>
      </c>
      <c r="H183" s="56">
        <v>43100</v>
      </c>
      <c r="I183" s="37">
        <v>1302678</v>
      </c>
      <c r="J183" s="71"/>
      <c r="L183" s="112"/>
      <c r="M183" s="112"/>
    </row>
    <row r="184" spans="1:14" x14ac:dyDescent="0.25">
      <c r="A184" s="1">
        <v>9</v>
      </c>
      <c r="B184" s="60" t="s">
        <v>17</v>
      </c>
      <c r="C184" s="10" t="str">
        <f>"61378/17"</f>
        <v>61378/17</v>
      </c>
      <c r="D184" s="56">
        <v>42844</v>
      </c>
      <c r="E184" s="56">
        <v>44670</v>
      </c>
      <c r="F184" s="70">
        <v>130267.8</v>
      </c>
      <c r="G184" s="70">
        <v>162834.75</v>
      </c>
      <c r="H184" s="56">
        <v>43100</v>
      </c>
      <c r="I184" s="37">
        <v>1302678</v>
      </c>
      <c r="J184" s="71"/>
      <c r="L184" s="112"/>
      <c r="M184" s="112"/>
    </row>
    <row r="185" spans="1:14" x14ac:dyDescent="0.25">
      <c r="A185" s="1">
        <v>10</v>
      </c>
      <c r="B185" s="60" t="s">
        <v>17</v>
      </c>
      <c r="C185" s="10" t="str">
        <f>"61381/17"</f>
        <v>61381/17</v>
      </c>
      <c r="D185" s="56">
        <v>42844</v>
      </c>
      <c r="E185" s="56">
        <v>44670</v>
      </c>
      <c r="F185" s="70">
        <v>130267.8</v>
      </c>
      <c r="G185" s="70">
        <v>162834.75</v>
      </c>
      <c r="H185" s="56">
        <v>43100</v>
      </c>
      <c r="I185" s="37">
        <v>1302678</v>
      </c>
      <c r="J185" s="71"/>
      <c r="L185" s="112"/>
      <c r="M185" s="112"/>
    </row>
    <row r="186" spans="1:14" ht="36" x14ac:dyDescent="0.25">
      <c r="A186" s="1">
        <v>11</v>
      </c>
      <c r="B186" s="60" t="s">
        <v>18</v>
      </c>
      <c r="C186" s="10" t="str">
        <f>"SNUG-201-17-021-029-038-043"</f>
        <v>SNUG-201-17-021-029-038-043</v>
      </c>
      <c r="D186" s="56">
        <v>42829</v>
      </c>
      <c r="E186" s="56">
        <v>44655</v>
      </c>
      <c r="F186" s="70">
        <v>1954560</v>
      </c>
      <c r="G186" s="70">
        <v>2443200</v>
      </c>
      <c r="H186" s="56">
        <v>43100</v>
      </c>
      <c r="I186" s="37">
        <v>238922.625</v>
      </c>
      <c r="J186" s="71"/>
      <c r="L186" s="112"/>
      <c r="M186" s="112"/>
    </row>
    <row r="187" spans="1:14" ht="36" x14ac:dyDescent="0.25">
      <c r="A187" s="16">
        <v>12</v>
      </c>
      <c r="B187" s="60" t="s">
        <v>97</v>
      </c>
      <c r="C187" s="10" t="str">
        <f>"022-03/17-02/54-GRUPA 6. FIAT"</f>
        <v>022-03/17-02/54-GRUPA 6. FIAT</v>
      </c>
      <c r="D187" s="56">
        <v>42825</v>
      </c>
      <c r="E187" s="56">
        <v>44651</v>
      </c>
      <c r="F187" s="70">
        <v>49773.599999999999</v>
      </c>
      <c r="G187" s="70">
        <v>62217</v>
      </c>
      <c r="H187" s="56">
        <v>43100</v>
      </c>
      <c r="I187" s="37">
        <v>46427.5</v>
      </c>
      <c r="J187" s="71"/>
      <c r="L187" s="112"/>
      <c r="M187" s="112"/>
    </row>
    <row r="188" spans="1:14" ht="7.5" customHeight="1" x14ac:dyDescent="0.25">
      <c r="A188" s="25"/>
      <c r="B188" s="28"/>
      <c r="C188" s="29"/>
      <c r="D188" s="29"/>
      <c r="E188" s="30"/>
      <c r="F188" s="30"/>
      <c r="G188" s="21"/>
      <c r="H188" s="30"/>
      <c r="I188" s="21"/>
      <c r="J188" s="21"/>
      <c r="K188" s="31"/>
    </row>
    <row r="189" spans="1:14" x14ac:dyDescent="0.25">
      <c r="A189" s="175" t="s">
        <v>45</v>
      </c>
      <c r="B189" s="175"/>
      <c r="C189" s="175"/>
      <c r="D189" s="175"/>
      <c r="E189" s="175"/>
      <c r="F189" s="175"/>
      <c r="G189" s="175"/>
      <c r="H189" s="175"/>
      <c r="I189" s="175"/>
      <c r="J189" s="175"/>
      <c r="K189" s="175"/>
      <c r="L189" s="175"/>
      <c r="M189" s="175"/>
      <c r="N189" s="175"/>
    </row>
    <row r="190" spans="1:14" ht="36" x14ac:dyDescent="0.25">
      <c r="A190" s="53" t="s">
        <v>0</v>
      </c>
      <c r="B190" s="54" t="s">
        <v>1</v>
      </c>
      <c r="C190" s="54" t="s">
        <v>3</v>
      </c>
      <c r="D190" s="178" t="s">
        <v>171</v>
      </c>
      <c r="E190" s="178"/>
      <c r="F190" s="54" t="s">
        <v>166</v>
      </c>
      <c r="G190" s="54" t="s">
        <v>170</v>
      </c>
      <c r="H190" s="54" t="s">
        <v>167</v>
      </c>
      <c r="I190" s="54" t="s">
        <v>4</v>
      </c>
      <c r="J190" s="54" t="s">
        <v>5</v>
      </c>
      <c r="K190" s="54" t="s">
        <v>2</v>
      </c>
      <c r="L190" s="54" t="s">
        <v>172</v>
      </c>
      <c r="M190" s="54" t="s">
        <v>173</v>
      </c>
      <c r="N190" s="54" t="s">
        <v>169</v>
      </c>
    </row>
    <row r="191" spans="1:14" ht="36" x14ac:dyDescent="0.25">
      <c r="A191" s="1">
        <v>1</v>
      </c>
      <c r="B191" s="13" t="s">
        <v>55</v>
      </c>
      <c r="C191" s="14" t="s">
        <v>113</v>
      </c>
      <c r="D191" s="179" t="s">
        <v>1025</v>
      </c>
      <c r="E191" s="180"/>
      <c r="F191" s="1" t="s">
        <v>164</v>
      </c>
      <c r="G191" s="1">
        <v>34100000</v>
      </c>
      <c r="H191" s="1" t="s">
        <v>15</v>
      </c>
      <c r="I191" s="15" t="s">
        <v>162</v>
      </c>
      <c r="J191" s="1" t="s">
        <v>56</v>
      </c>
      <c r="K191" s="8">
        <v>8126989.7800000003</v>
      </c>
      <c r="L191" s="8">
        <f>K191*0.25</f>
        <v>2031747.4450000001</v>
      </c>
      <c r="M191" s="8">
        <f>K191+L191</f>
        <v>10158737.225</v>
      </c>
      <c r="N191" s="176"/>
    </row>
    <row r="192" spans="1:14" ht="15" customHeight="1" x14ac:dyDescent="0.25">
      <c r="A192" s="177" t="s">
        <v>1012</v>
      </c>
      <c r="B192" s="177"/>
      <c r="C192" s="177"/>
      <c r="D192" s="177"/>
      <c r="E192" s="177"/>
      <c r="F192" s="177"/>
      <c r="G192" s="177"/>
      <c r="H192" s="177"/>
      <c r="I192" s="177"/>
      <c r="J192" s="177"/>
      <c r="K192" s="177"/>
      <c r="L192" s="177"/>
      <c r="M192" s="80">
        <v>0</v>
      </c>
      <c r="N192" s="176"/>
    </row>
    <row r="193" spans="1:14" ht="7.5" customHeight="1" x14ac:dyDescent="0.25">
      <c r="A193" s="1"/>
      <c r="B193" s="28"/>
      <c r="C193" s="29"/>
      <c r="D193" s="29"/>
      <c r="E193" s="30"/>
      <c r="F193" s="30"/>
      <c r="G193" s="21"/>
      <c r="H193" s="30"/>
      <c r="I193" s="21"/>
      <c r="J193" s="21"/>
      <c r="K193" s="31"/>
    </row>
    <row r="194" spans="1:14" x14ac:dyDescent="0.25">
      <c r="A194" s="175" t="s">
        <v>45</v>
      </c>
      <c r="B194" s="175"/>
      <c r="C194" s="175"/>
      <c r="D194" s="175"/>
      <c r="E194" s="175"/>
      <c r="F194" s="175"/>
      <c r="G194" s="175"/>
      <c r="H194" s="175"/>
      <c r="I194" s="175"/>
      <c r="J194" s="175"/>
      <c r="K194" s="175"/>
      <c r="L194" s="175"/>
      <c r="M194" s="175"/>
      <c r="N194" s="175"/>
    </row>
    <row r="195" spans="1:14" ht="36" x14ac:dyDescent="0.25">
      <c r="A195" s="53" t="s">
        <v>0</v>
      </c>
      <c r="B195" s="54" t="s">
        <v>1</v>
      </c>
      <c r="C195" s="54" t="s">
        <v>3</v>
      </c>
      <c r="D195" s="178" t="s">
        <v>171</v>
      </c>
      <c r="E195" s="178"/>
      <c r="F195" s="54" t="s">
        <v>166</v>
      </c>
      <c r="G195" s="54" t="s">
        <v>170</v>
      </c>
      <c r="H195" s="54" t="s">
        <v>167</v>
      </c>
      <c r="I195" s="54" t="s">
        <v>4</v>
      </c>
      <c r="J195" s="54" t="s">
        <v>5</v>
      </c>
      <c r="K195" s="54" t="s">
        <v>2</v>
      </c>
      <c r="L195" s="54" t="s">
        <v>172</v>
      </c>
      <c r="M195" s="54" t="s">
        <v>173</v>
      </c>
      <c r="N195" s="54" t="s">
        <v>169</v>
      </c>
    </row>
    <row r="196" spans="1:14" ht="36" x14ac:dyDescent="0.25">
      <c r="A196" s="1">
        <v>1</v>
      </c>
      <c r="B196" s="13" t="s">
        <v>55</v>
      </c>
      <c r="C196" s="14" t="s">
        <v>114</v>
      </c>
      <c r="D196" s="179" t="s">
        <v>1027</v>
      </c>
      <c r="E196" s="180"/>
      <c r="F196" s="1" t="s">
        <v>164</v>
      </c>
      <c r="G196" s="1">
        <v>34100000</v>
      </c>
      <c r="H196" s="1" t="s">
        <v>15</v>
      </c>
      <c r="I196" s="15" t="s">
        <v>163</v>
      </c>
      <c r="J196" s="1" t="s">
        <v>56</v>
      </c>
      <c r="K196" s="8">
        <v>37963459.579999998</v>
      </c>
      <c r="L196" s="8">
        <f>K196*0.25</f>
        <v>9490864.8949999996</v>
      </c>
      <c r="M196" s="8">
        <f>K196+L196</f>
        <v>47454324.474999994</v>
      </c>
      <c r="N196" s="176"/>
    </row>
    <row r="197" spans="1:14" ht="15" customHeight="1" x14ac:dyDescent="0.25">
      <c r="A197" s="177" t="s">
        <v>1012</v>
      </c>
      <c r="B197" s="177"/>
      <c r="C197" s="177"/>
      <c r="D197" s="177"/>
      <c r="E197" s="177"/>
      <c r="F197" s="177"/>
      <c r="G197" s="177"/>
      <c r="H197" s="177"/>
      <c r="I197" s="177"/>
      <c r="J197" s="177"/>
      <c r="K197" s="177"/>
      <c r="L197" s="177"/>
      <c r="M197" s="80">
        <v>0</v>
      </c>
      <c r="N197" s="176"/>
    </row>
    <row r="199" spans="1:14" x14ac:dyDescent="0.25">
      <c r="B199" s="174" t="s">
        <v>2028</v>
      </c>
      <c r="C199" s="174"/>
      <c r="D199" s="174"/>
      <c r="E199" s="174"/>
      <c r="F199" s="174"/>
      <c r="G199" s="174"/>
      <c r="H199" s="174"/>
      <c r="I199" s="174"/>
      <c r="J199" s="174"/>
    </row>
  </sheetData>
  <sheetProtection algorithmName="SHA-512" hashValue="fC/9yrfrOLIcNxCB7kvvBmvQZ7T17Q54jGrUoRv+22oC/wP+Reu1//FVG7k2nuy5NPXKSTgW0ulhEM4ZzDsw7w==" saltValue="czrg7c7BshY40Dm7PKQD6g==" spinCount="100000" sheet="1" objects="1" scenarios="1"/>
  <mergeCells count="74">
    <mergeCell ref="A194:N194"/>
    <mergeCell ref="D195:E195"/>
    <mergeCell ref="A109:J109"/>
    <mergeCell ref="A160:N160"/>
    <mergeCell ref="D161:E161"/>
    <mergeCell ref="D162:E162"/>
    <mergeCell ref="N162:N163"/>
    <mergeCell ref="A17:J17"/>
    <mergeCell ref="A49:N49"/>
    <mergeCell ref="D50:E50"/>
    <mergeCell ref="D51:E51"/>
    <mergeCell ref="N51:N52"/>
    <mergeCell ref="A52:L52"/>
    <mergeCell ref="A6:J6"/>
    <mergeCell ref="A12:N12"/>
    <mergeCell ref="D13:E13"/>
    <mergeCell ref="D14:E14"/>
    <mergeCell ref="N14:N15"/>
    <mergeCell ref="A15:L15"/>
    <mergeCell ref="A1:N1"/>
    <mergeCell ref="D2:E2"/>
    <mergeCell ref="D3:E3"/>
    <mergeCell ref="N3:N4"/>
    <mergeCell ref="A4:L4"/>
    <mergeCell ref="A54:J54"/>
    <mergeCell ref="A59:N59"/>
    <mergeCell ref="D60:E60"/>
    <mergeCell ref="D61:E61"/>
    <mergeCell ref="N61:N62"/>
    <mergeCell ref="A62:L62"/>
    <mergeCell ref="A64:J64"/>
    <mergeCell ref="A79:N79"/>
    <mergeCell ref="D80:E80"/>
    <mergeCell ref="D81:E81"/>
    <mergeCell ref="N81:N82"/>
    <mergeCell ref="A82:L82"/>
    <mergeCell ref="A84:J84"/>
    <mergeCell ref="A89:N89"/>
    <mergeCell ref="D90:E90"/>
    <mergeCell ref="D91:E91"/>
    <mergeCell ref="N91:N92"/>
    <mergeCell ref="A92:L92"/>
    <mergeCell ref="A94:N94"/>
    <mergeCell ref="D95:E95"/>
    <mergeCell ref="D96:E96"/>
    <mergeCell ref="N96:N97"/>
    <mergeCell ref="A97:L97"/>
    <mergeCell ref="A192:L192"/>
    <mergeCell ref="A99:N99"/>
    <mergeCell ref="D100:E100"/>
    <mergeCell ref="D101:E101"/>
    <mergeCell ref="N101:N102"/>
    <mergeCell ref="A102:L102"/>
    <mergeCell ref="A104:N104"/>
    <mergeCell ref="D105:E105"/>
    <mergeCell ref="D106:E106"/>
    <mergeCell ref="N106:N107"/>
    <mergeCell ref="A107:L107"/>
    <mergeCell ref="B199:J199"/>
    <mergeCell ref="D196:E196"/>
    <mergeCell ref="N196:N197"/>
    <mergeCell ref="A197:L197"/>
    <mergeCell ref="A163:L163"/>
    <mergeCell ref="A165:J165"/>
    <mergeCell ref="A169:N169"/>
    <mergeCell ref="D170:E170"/>
    <mergeCell ref="D171:E171"/>
    <mergeCell ref="N171:N172"/>
    <mergeCell ref="A172:L172"/>
    <mergeCell ref="A174:J174"/>
    <mergeCell ref="A189:N189"/>
    <mergeCell ref="D190:E190"/>
    <mergeCell ref="D191:E191"/>
    <mergeCell ref="N191:N192"/>
  </mergeCells>
  <pageMargins left="0.23622047244094491" right="0.23622047244094491" top="0.98425196850393704" bottom="0.59055118110236227" header="0.31496062992125984" footer="0.31496062992125984"/>
  <pageSetup scale="69" fitToHeight="0" orientation="landscape" r:id="rId1"/>
  <headerFooter>
    <oddHeader>&amp;L&amp;G&amp;CRegistar okvirnih sporazuma i ugovora za 2016. godinu 
za predmete nabave iz nadležnosti Središnjeg državnog ureda za središnju javnu nabavu</oddHeader>
    <oddFooter>&amp;L&amp;D&amp;C &amp;A&amp;R&amp;P/&amp;N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N354"/>
  <sheetViews>
    <sheetView view="pageLayout" zoomScaleNormal="100" workbookViewId="0">
      <selection sqref="A1:N1"/>
    </sheetView>
  </sheetViews>
  <sheetFormatPr defaultRowHeight="15" x14ac:dyDescent="0.25"/>
  <cols>
    <col min="1" max="1" width="4.85546875" customWidth="1"/>
    <col min="2" max="2" width="26.140625" customWidth="1"/>
    <col min="3" max="3" width="12" customWidth="1"/>
    <col min="4" max="4" width="13.42578125" customWidth="1"/>
    <col min="5" max="5" width="14" customWidth="1"/>
    <col min="6" max="6" width="15.28515625" customWidth="1"/>
    <col min="7" max="10" width="13.5703125" customWidth="1"/>
    <col min="11" max="13" width="14.28515625" customWidth="1"/>
    <col min="14" max="14" width="11.28515625" customWidth="1"/>
  </cols>
  <sheetData>
    <row r="1" spans="1:14" x14ac:dyDescent="0.25">
      <c r="A1" s="175" t="s">
        <v>179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36" x14ac:dyDescent="0.25">
      <c r="A2" s="53" t="s">
        <v>0</v>
      </c>
      <c r="B2" s="54" t="s">
        <v>1</v>
      </c>
      <c r="C2" s="54" t="s">
        <v>3</v>
      </c>
      <c r="D2" s="178" t="s">
        <v>171</v>
      </c>
      <c r="E2" s="178"/>
      <c r="F2" s="54" t="s">
        <v>166</v>
      </c>
      <c r="G2" s="54" t="s">
        <v>170</v>
      </c>
      <c r="H2" s="54" t="s">
        <v>167</v>
      </c>
      <c r="I2" s="54" t="s">
        <v>4</v>
      </c>
      <c r="J2" s="54" t="s">
        <v>5</v>
      </c>
      <c r="K2" s="54" t="s">
        <v>2</v>
      </c>
      <c r="L2" s="54" t="s">
        <v>172</v>
      </c>
      <c r="M2" s="54" t="s">
        <v>173</v>
      </c>
      <c r="N2" s="54" t="s">
        <v>169</v>
      </c>
    </row>
    <row r="3" spans="1:14" x14ac:dyDescent="0.25">
      <c r="A3" s="1">
        <v>1</v>
      </c>
      <c r="B3" s="4" t="s">
        <v>58</v>
      </c>
      <c r="C3" s="1" t="s">
        <v>31</v>
      </c>
      <c r="D3" s="185" t="s">
        <v>1053</v>
      </c>
      <c r="E3" s="186"/>
      <c r="F3" s="1" t="s">
        <v>69</v>
      </c>
      <c r="G3" s="1" t="s">
        <v>1001</v>
      </c>
      <c r="H3" s="1" t="s">
        <v>15</v>
      </c>
      <c r="I3" s="15">
        <v>41837</v>
      </c>
      <c r="J3" s="1" t="s">
        <v>59</v>
      </c>
      <c r="K3" s="8">
        <v>13722146</v>
      </c>
      <c r="L3" s="8">
        <f>K3*0.25</f>
        <v>3430536.5</v>
      </c>
      <c r="M3" s="8">
        <f>K3+L3</f>
        <v>17152682.5</v>
      </c>
      <c r="N3" s="176"/>
    </row>
    <row r="4" spans="1:14" ht="15" customHeight="1" x14ac:dyDescent="0.25">
      <c r="A4" s="177" t="s">
        <v>1012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8">
        <v>2724425.08</v>
      </c>
      <c r="N4" s="176"/>
    </row>
    <row r="5" spans="1:14" ht="7.5" customHeight="1" x14ac:dyDescent="0.25">
      <c r="L5" s="47"/>
    </row>
    <row r="6" spans="1:14" ht="15" customHeight="1" x14ac:dyDescent="0.25">
      <c r="A6" s="175" t="s">
        <v>12</v>
      </c>
      <c r="B6" s="175"/>
      <c r="C6" s="175"/>
      <c r="D6" s="175"/>
      <c r="E6" s="175"/>
      <c r="F6" s="175"/>
      <c r="G6" s="175"/>
      <c r="H6" s="175"/>
      <c r="I6" s="175"/>
      <c r="J6" s="175"/>
      <c r="K6" s="49"/>
      <c r="L6" s="49"/>
    </row>
    <row r="7" spans="1:14" ht="48" customHeight="1" x14ac:dyDescent="0.25">
      <c r="A7" s="2" t="s">
        <v>0</v>
      </c>
      <c r="B7" s="3" t="s">
        <v>7</v>
      </c>
      <c r="C7" s="3" t="s">
        <v>6</v>
      </c>
      <c r="D7" s="3" t="s">
        <v>8</v>
      </c>
      <c r="E7" s="3" t="s">
        <v>168</v>
      </c>
      <c r="F7" s="3" t="s">
        <v>174</v>
      </c>
      <c r="G7" s="3" t="s">
        <v>175</v>
      </c>
      <c r="H7" s="3" t="s">
        <v>9</v>
      </c>
      <c r="I7" s="3" t="s">
        <v>176</v>
      </c>
      <c r="J7" s="3" t="s">
        <v>10</v>
      </c>
      <c r="K7" s="48"/>
      <c r="L7" s="48"/>
      <c r="M7" s="48"/>
    </row>
    <row r="8" spans="1:14" ht="24" x14ac:dyDescent="0.25">
      <c r="A8" s="1">
        <v>1</v>
      </c>
      <c r="B8" s="60" t="s">
        <v>203</v>
      </c>
      <c r="C8" s="10" t="str">
        <f>"305/2016"</f>
        <v>305/2016</v>
      </c>
      <c r="D8" s="56">
        <v>42467</v>
      </c>
      <c r="E8" s="59"/>
      <c r="F8" s="8">
        <v>33636</v>
      </c>
      <c r="G8" s="8">
        <v>42045</v>
      </c>
      <c r="H8" s="56">
        <v>42643</v>
      </c>
      <c r="I8" s="24">
        <v>42045</v>
      </c>
      <c r="J8" s="70"/>
    </row>
    <row r="9" spans="1:14" ht="24" x14ac:dyDescent="0.25">
      <c r="A9" s="1">
        <v>2</v>
      </c>
      <c r="B9" s="60" t="s">
        <v>190</v>
      </c>
      <c r="C9" s="10" t="str">
        <f>"99/2015/R"</f>
        <v>99/2015/R</v>
      </c>
      <c r="D9" s="56">
        <v>42296</v>
      </c>
      <c r="E9" s="59"/>
      <c r="F9" s="8">
        <v>5278</v>
      </c>
      <c r="G9" s="8">
        <v>6597.5</v>
      </c>
      <c r="H9" s="56">
        <v>42327</v>
      </c>
      <c r="I9" s="24">
        <v>6597.5</v>
      </c>
      <c r="J9" s="77"/>
    </row>
    <row r="10" spans="1:14" ht="24" x14ac:dyDescent="0.25">
      <c r="A10" s="1">
        <v>3</v>
      </c>
      <c r="B10" s="60" t="s">
        <v>187</v>
      </c>
      <c r="C10" s="10" t="str">
        <f>"13/2013-1-U1"</f>
        <v>13/2013-1-U1</v>
      </c>
      <c r="D10" s="56">
        <v>41914</v>
      </c>
      <c r="E10" s="59"/>
      <c r="F10" s="8">
        <v>79740</v>
      </c>
      <c r="G10" s="8">
        <v>99675</v>
      </c>
      <c r="H10" s="56">
        <v>42369</v>
      </c>
      <c r="I10" s="24">
        <v>46438.75</v>
      </c>
      <c r="J10" s="70"/>
    </row>
    <row r="11" spans="1:14" x14ac:dyDescent="0.25">
      <c r="A11" s="1">
        <v>4</v>
      </c>
      <c r="B11" s="60" t="s">
        <v>212</v>
      </c>
      <c r="C11" s="10" t="str">
        <f>"187/2015"</f>
        <v>187/2015</v>
      </c>
      <c r="D11" s="56">
        <v>42418</v>
      </c>
      <c r="E11" s="59"/>
      <c r="F11" s="8">
        <v>63.5</v>
      </c>
      <c r="G11" s="8">
        <v>79.38</v>
      </c>
      <c r="H11" s="56">
        <v>42418</v>
      </c>
      <c r="I11" s="24">
        <v>79.375</v>
      </c>
      <c r="J11" s="70"/>
    </row>
    <row r="12" spans="1:14" x14ac:dyDescent="0.25">
      <c r="A12" s="1">
        <v>5</v>
      </c>
      <c r="B12" s="60" t="s">
        <v>212</v>
      </c>
      <c r="C12" s="10" t="str">
        <f>"355/2015"</f>
        <v>355/2015</v>
      </c>
      <c r="D12" s="56">
        <v>42103</v>
      </c>
      <c r="E12" s="59"/>
      <c r="F12" s="8">
        <v>12546</v>
      </c>
      <c r="G12" s="8">
        <v>15682.5</v>
      </c>
      <c r="H12" s="56">
        <v>42103</v>
      </c>
      <c r="I12" s="24">
        <v>15682.5</v>
      </c>
      <c r="J12" s="70"/>
    </row>
    <row r="13" spans="1:14" x14ac:dyDescent="0.25">
      <c r="A13" s="1">
        <v>6</v>
      </c>
      <c r="B13" s="60" t="s">
        <v>212</v>
      </c>
      <c r="C13" s="10" t="str">
        <f>"401/2015"</f>
        <v>401/2015</v>
      </c>
      <c r="D13" s="56">
        <v>42110</v>
      </c>
      <c r="E13" s="59"/>
      <c r="F13" s="8">
        <v>4100</v>
      </c>
      <c r="G13" s="8">
        <v>5125</v>
      </c>
      <c r="H13" s="56">
        <v>42296</v>
      </c>
      <c r="I13" s="24">
        <v>4903.75</v>
      </c>
      <c r="J13" s="70"/>
    </row>
    <row r="14" spans="1:14" x14ac:dyDescent="0.25">
      <c r="A14" s="1">
        <v>7</v>
      </c>
      <c r="B14" s="60" t="s">
        <v>212</v>
      </c>
      <c r="C14" s="10" t="str">
        <f>"1029/2015"</f>
        <v>1029/2015</v>
      </c>
      <c r="D14" s="56">
        <v>42297</v>
      </c>
      <c r="E14" s="59"/>
      <c r="F14" s="8">
        <v>250</v>
      </c>
      <c r="G14" s="8">
        <v>312.5</v>
      </c>
      <c r="H14" s="56">
        <v>42318</v>
      </c>
      <c r="I14" s="24">
        <v>6442.5</v>
      </c>
      <c r="J14" s="70"/>
    </row>
    <row r="15" spans="1:14" ht="24" x14ac:dyDescent="0.25">
      <c r="A15" s="1">
        <v>8</v>
      </c>
      <c r="B15" s="60" t="s">
        <v>18</v>
      </c>
      <c r="C15" s="10" t="str">
        <f>"NND-201-15-193"</f>
        <v>NND-201-15-193</v>
      </c>
      <c r="D15" s="56">
        <v>42209</v>
      </c>
      <c r="E15" s="59"/>
      <c r="F15" s="8">
        <v>6434</v>
      </c>
      <c r="G15" s="8">
        <v>8042.5</v>
      </c>
      <c r="H15" s="56">
        <v>42369</v>
      </c>
      <c r="I15" s="24">
        <v>8042.5</v>
      </c>
      <c r="J15" s="70"/>
      <c r="K15" s="48"/>
    </row>
    <row r="16" spans="1:14" x14ac:dyDescent="0.25">
      <c r="A16" s="1">
        <v>9</v>
      </c>
      <c r="B16" s="60" t="s">
        <v>16</v>
      </c>
      <c r="C16" s="10" t="str">
        <f>"PON-2-1387"</f>
        <v>PON-2-1387</v>
      </c>
      <c r="D16" s="56">
        <v>42087</v>
      </c>
      <c r="E16" s="59"/>
      <c r="F16" s="8">
        <v>14690</v>
      </c>
      <c r="G16" s="8">
        <v>18362.5</v>
      </c>
      <c r="H16" s="56">
        <v>42087</v>
      </c>
      <c r="I16" s="24">
        <v>18362.5</v>
      </c>
      <c r="J16" s="70"/>
    </row>
    <row r="17" spans="1:11" x14ac:dyDescent="0.25">
      <c r="A17" s="1">
        <v>10</v>
      </c>
      <c r="B17" s="60" t="s">
        <v>16</v>
      </c>
      <c r="C17" s="10" t="str">
        <f>"PON-2-7144"</f>
        <v>PON-2-7144</v>
      </c>
      <c r="D17" s="56">
        <v>42303</v>
      </c>
      <c r="E17" s="59"/>
      <c r="F17" s="8">
        <v>10346</v>
      </c>
      <c r="G17" s="8">
        <v>12932.5</v>
      </c>
      <c r="H17" s="56">
        <v>42303</v>
      </c>
      <c r="I17" s="24">
        <v>12932.5</v>
      </c>
      <c r="J17" s="70"/>
    </row>
    <row r="18" spans="1:11" ht="24" x14ac:dyDescent="0.25">
      <c r="A18" s="1">
        <v>11</v>
      </c>
      <c r="B18" s="60" t="s">
        <v>194</v>
      </c>
      <c r="C18" s="10" t="str">
        <f>"182"</f>
        <v>182</v>
      </c>
      <c r="D18" s="56">
        <v>42107</v>
      </c>
      <c r="E18" s="59"/>
      <c r="F18" s="8">
        <v>937.5</v>
      </c>
      <c r="G18" s="8">
        <v>1171.8800000000001</v>
      </c>
      <c r="H18" s="56">
        <v>42107</v>
      </c>
      <c r="I18" s="24">
        <v>1171.875</v>
      </c>
      <c r="J18" s="70"/>
    </row>
    <row r="19" spans="1:11" ht="24" x14ac:dyDescent="0.25">
      <c r="A19" s="1">
        <v>12</v>
      </c>
      <c r="B19" s="60" t="s">
        <v>194</v>
      </c>
      <c r="C19" s="10" t="str">
        <f>"183"</f>
        <v>183</v>
      </c>
      <c r="D19" s="56">
        <v>42107</v>
      </c>
      <c r="E19" s="59"/>
      <c r="F19" s="8">
        <v>120</v>
      </c>
      <c r="G19" s="8">
        <v>150</v>
      </c>
      <c r="H19" s="56">
        <v>42107</v>
      </c>
      <c r="I19" s="24">
        <v>150</v>
      </c>
      <c r="J19" s="70"/>
    </row>
    <row r="20" spans="1:11" ht="24" x14ac:dyDescent="0.25">
      <c r="A20" s="1">
        <v>13</v>
      </c>
      <c r="B20" s="60" t="s">
        <v>194</v>
      </c>
      <c r="C20" s="10" t="str">
        <f>"555"</f>
        <v>555</v>
      </c>
      <c r="D20" s="56">
        <v>42303</v>
      </c>
      <c r="E20" s="59"/>
      <c r="F20" s="8">
        <v>1250</v>
      </c>
      <c r="G20" s="8">
        <v>1562.5</v>
      </c>
      <c r="H20" s="56">
        <v>42303</v>
      </c>
      <c r="I20" s="24">
        <v>1562.5</v>
      </c>
      <c r="J20" s="70"/>
    </row>
    <row r="21" spans="1:11" ht="24" x14ac:dyDescent="0.25">
      <c r="A21" s="1">
        <v>14</v>
      </c>
      <c r="B21" s="60" t="s">
        <v>194</v>
      </c>
      <c r="C21" s="10" t="str">
        <f>"2432"</f>
        <v>2432</v>
      </c>
      <c r="D21" s="56">
        <v>42291</v>
      </c>
      <c r="E21" s="59"/>
      <c r="F21" s="8">
        <v>5239</v>
      </c>
      <c r="G21" s="8">
        <v>6548.75</v>
      </c>
      <c r="H21" s="56">
        <v>42291</v>
      </c>
      <c r="I21" s="24">
        <v>6548.75</v>
      </c>
      <c r="J21" s="70"/>
    </row>
    <row r="22" spans="1:11" ht="24" x14ac:dyDescent="0.25">
      <c r="A22" s="1">
        <v>15</v>
      </c>
      <c r="B22" s="60" t="s">
        <v>18</v>
      </c>
      <c r="C22" s="10" t="str">
        <f>"UG-201-15-0573"</f>
        <v>UG-201-15-0573</v>
      </c>
      <c r="D22" s="56">
        <v>42191</v>
      </c>
      <c r="E22" s="59"/>
      <c r="F22" s="8">
        <v>267236</v>
      </c>
      <c r="G22" s="8">
        <v>334045</v>
      </c>
      <c r="H22" s="56">
        <v>42369</v>
      </c>
      <c r="I22" s="24">
        <v>230737.5</v>
      </c>
      <c r="J22" s="70"/>
    </row>
    <row r="23" spans="1:11" ht="36" x14ac:dyDescent="0.25">
      <c r="A23" s="1">
        <v>16</v>
      </c>
      <c r="B23" s="60" t="s">
        <v>192</v>
      </c>
      <c r="C23" s="10" t="str">
        <f>"210/2015"</f>
        <v>210/2015</v>
      </c>
      <c r="D23" s="56">
        <v>42116</v>
      </c>
      <c r="E23" s="59"/>
      <c r="F23" s="8">
        <v>1562</v>
      </c>
      <c r="G23" s="8">
        <v>1952.5</v>
      </c>
      <c r="H23" s="56">
        <v>42369</v>
      </c>
      <c r="I23" s="24">
        <v>1952.5</v>
      </c>
      <c r="J23" s="70"/>
      <c r="K23" s="48"/>
    </row>
    <row r="24" spans="1:11" ht="36" x14ac:dyDescent="0.25">
      <c r="A24" s="1">
        <v>17</v>
      </c>
      <c r="B24" s="60" t="s">
        <v>192</v>
      </c>
      <c r="C24" s="10" t="str">
        <f>"219/2015"</f>
        <v>219/2015</v>
      </c>
      <c r="D24" s="56">
        <v>42117</v>
      </c>
      <c r="E24" s="59"/>
      <c r="F24" s="8">
        <v>1030</v>
      </c>
      <c r="G24" s="8">
        <v>1287.5</v>
      </c>
      <c r="H24" s="56">
        <v>42369</v>
      </c>
      <c r="I24" s="24">
        <v>1287.5</v>
      </c>
      <c r="J24" s="70"/>
    </row>
    <row r="25" spans="1:11" ht="36" x14ac:dyDescent="0.25">
      <c r="A25" s="1">
        <v>18</v>
      </c>
      <c r="B25" s="60" t="s">
        <v>192</v>
      </c>
      <c r="C25" s="10" t="str">
        <f>"220/2015"</f>
        <v>220/2015</v>
      </c>
      <c r="D25" s="56">
        <v>42117</v>
      </c>
      <c r="E25" s="59"/>
      <c r="F25" s="8">
        <v>190</v>
      </c>
      <c r="G25" s="8">
        <v>237.5</v>
      </c>
      <c r="H25" s="56">
        <v>42369</v>
      </c>
      <c r="I25" s="24">
        <v>237.5</v>
      </c>
      <c r="J25" s="70"/>
    </row>
    <row r="26" spans="1:11" ht="36" x14ac:dyDescent="0.25">
      <c r="A26" s="1">
        <v>19</v>
      </c>
      <c r="B26" s="60" t="s">
        <v>192</v>
      </c>
      <c r="C26" s="10" t="str">
        <f>"221/2015"</f>
        <v>221/2015</v>
      </c>
      <c r="D26" s="56">
        <v>42117</v>
      </c>
      <c r="E26" s="59"/>
      <c r="F26" s="8">
        <v>190</v>
      </c>
      <c r="G26" s="8">
        <v>237.5</v>
      </c>
      <c r="H26" s="56">
        <v>42369</v>
      </c>
      <c r="I26" s="24">
        <v>237.5</v>
      </c>
      <c r="J26" s="70"/>
    </row>
    <row r="27" spans="1:11" ht="36" x14ac:dyDescent="0.25">
      <c r="A27" s="1">
        <v>20</v>
      </c>
      <c r="B27" s="60" t="s">
        <v>192</v>
      </c>
      <c r="C27" s="10" t="str">
        <f>"222/2015"</f>
        <v>222/2015</v>
      </c>
      <c r="D27" s="56">
        <v>42117</v>
      </c>
      <c r="E27" s="59"/>
      <c r="F27" s="8">
        <v>1130</v>
      </c>
      <c r="G27" s="8">
        <v>1412.5</v>
      </c>
      <c r="H27" s="56">
        <v>42369</v>
      </c>
      <c r="I27" s="24">
        <v>1412.5</v>
      </c>
      <c r="J27" s="70"/>
    </row>
    <row r="28" spans="1:11" ht="36" x14ac:dyDescent="0.25">
      <c r="A28" s="1">
        <v>21</v>
      </c>
      <c r="B28" s="60" t="s">
        <v>192</v>
      </c>
      <c r="C28" s="10" t="str">
        <f>"223/2015"</f>
        <v>223/2015</v>
      </c>
      <c r="D28" s="56">
        <v>42117</v>
      </c>
      <c r="E28" s="59"/>
      <c r="F28" s="8">
        <v>1030</v>
      </c>
      <c r="G28" s="8">
        <v>1287.5</v>
      </c>
      <c r="H28" s="56">
        <v>42369</v>
      </c>
      <c r="I28" s="24">
        <v>1287.5</v>
      </c>
      <c r="J28" s="70"/>
    </row>
    <row r="29" spans="1:11" ht="36" x14ac:dyDescent="0.25">
      <c r="A29" s="1">
        <v>22</v>
      </c>
      <c r="B29" s="60" t="s">
        <v>192</v>
      </c>
      <c r="C29" s="10" t="str">
        <f>"224/2015"</f>
        <v>224/2015</v>
      </c>
      <c r="D29" s="56">
        <v>42117</v>
      </c>
      <c r="E29" s="59"/>
      <c r="F29" s="8">
        <v>1030</v>
      </c>
      <c r="G29" s="8">
        <v>1287.5</v>
      </c>
      <c r="H29" s="56">
        <v>42369</v>
      </c>
      <c r="I29" s="24">
        <v>1287.5</v>
      </c>
      <c r="J29" s="70"/>
    </row>
    <row r="30" spans="1:11" ht="36" x14ac:dyDescent="0.25">
      <c r="A30" s="1">
        <v>23</v>
      </c>
      <c r="B30" s="60" t="s">
        <v>192</v>
      </c>
      <c r="C30" s="10" t="str">
        <f>"227/2015"</f>
        <v>227/2015</v>
      </c>
      <c r="D30" s="56">
        <v>42118</v>
      </c>
      <c r="E30" s="59"/>
      <c r="F30" s="8">
        <v>190</v>
      </c>
      <c r="G30" s="8">
        <v>237.5</v>
      </c>
      <c r="H30" s="56">
        <v>42369</v>
      </c>
      <c r="I30" s="24">
        <v>237.5</v>
      </c>
      <c r="J30" s="70"/>
    </row>
    <row r="31" spans="1:11" ht="36" x14ac:dyDescent="0.25">
      <c r="A31" s="1">
        <v>24</v>
      </c>
      <c r="B31" s="60" t="s">
        <v>192</v>
      </c>
      <c r="C31" s="10" t="str">
        <f>"228/2015"</f>
        <v>228/2015</v>
      </c>
      <c r="D31" s="56">
        <v>42118</v>
      </c>
      <c r="E31" s="59"/>
      <c r="F31" s="8">
        <v>1130</v>
      </c>
      <c r="G31" s="8">
        <v>1412.5</v>
      </c>
      <c r="H31" s="56">
        <v>42369</v>
      </c>
      <c r="I31" s="24">
        <v>1412.5</v>
      </c>
      <c r="J31" s="70"/>
      <c r="K31" s="48"/>
    </row>
    <row r="32" spans="1:11" ht="36" x14ac:dyDescent="0.25">
      <c r="A32" s="1">
        <v>25</v>
      </c>
      <c r="B32" s="60" t="s">
        <v>192</v>
      </c>
      <c r="C32" s="10" t="str">
        <f>"229/2015"</f>
        <v>229/2015</v>
      </c>
      <c r="D32" s="56">
        <v>42118</v>
      </c>
      <c r="E32" s="59"/>
      <c r="F32" s="8">
        <v>190</v>
      </c>
      <c r="G32" s="8">
        <v>237.5</v>
      </c>
      <c r="H32" s="56">
        <v>42369</v>
      </c>
      <c r="I32" s="24">
        <v>237.5</v>
      </c>
      <c r="J32" s="70"/>
    </row>
    <row r="33" spans="1:11" ht="36" x14ac:dyDescent="0.25">
      <c r="A33" s="1">
        <v>26</v>
      </c>
      <c r="B33" s="60" t="s">
        <v>192</v>
      </c>
      <c r="C33" s="10" t="str">
        <f>"230/2015"</f>
        <v>230/2015</v>
      </c>
      <c r="D33" s="56">
        <v>42118</v>
      </c>
      <c r="E33" s="59"/>
      <c r="F33" s="8">
        <v>1914</v>
      </c>
      <c r="G33" s="8">
        <v>2392.5</v>
      </c>
      <c r="H33" s="56">
        <v>42369</v>
      </c>
      <c r="I33" s="24">
        <v>2392.5</v>
      </c>
      <c r="J33" s="70"/>
    </row>
    <row r="34" spans="1:11" ht="36" x14ac:dyDescent="0.25">
      <c r="A34" s="1">
        <v>27</v>
      </c>
      <c r="B34" s="60" t="s">
        <v>192</v>
      </c>
      <c r="C34" s="10" t="str">
        <f>"231/2015"</f>
        <v>231/2015</v>
      </c>
      <c r="D34" s="56">
        <v>42118</v>
      </c>
      <c r="E34" s="59"/>
      <c r="F34" s="8">
        <v>190</v>
      </c>
      <c r="G34" s="8">
        <v>237.5</v>
      </c>
      <c r="H34" s="56">
        <v>42369</v>
      </c>
      <c r="I34" s="24">
        <v>237.5</v>
      </c>
      <c r="J34" s="70"/>
    </row>
    <row r="35" spans="1:11" ht="36" x14ac:dyDescent="0.25">
      <c r="A35" s="1">
        <v>28</v>
      </c>
      <c r="B35" s="60" t="s">
        <v>192</v>
      </c>
      <c r="C35" s="10" t="str">
        <f>"232/2015"</f>
        <v>232/2015</v>
      </c>
      <c r="D35" s="56">
        <v>42118</v>
      </c>
      <c r="E35" s="59"/>
      <c r="F35" s="8">
        <v>1130</v>
      </c>
      <c r="G35" s="8">
        <v>1412.5</v>
      </c>
      <c r="H35" s="56">
        <v>42369</v>
      </c>
      <c r="I35" s="24">
        <v>1412.5</v>
      </c>
      <c r="J35" s="70"/>
    </row>
    <row r="36" spans="1:11" ht="36" x14ac:dyDescent="0.25">
      <c r="A36" s="1">
        <v>29</v>
      </c>
      <c r="B36" s="60" t="s">
        <v>192</v>
      </c>
      <c r="C36" s="10" t="str">
        <f>"233/2015"</f>
        <v>233/2015</v>
      </c>
      <c r="D36" s="56">
        <v>42118</v>
      </c>
      <c r="E36" s="59"/>
      <c r="F36" s="8">
        <v>190</v>
      </c>
      <c r="G36" s="8">
        <v>237.5</v>
      </c>
      <c r="H36" s="56">
        <v>42369</v>
      </c>
      <c r="I36" s="24">
        <v>237.5</v>
      </c>
      <c r="J36" s="70"/>
    </row>
    <row r="37" spans="1:11" ht="36" x14ac:dyDescent="0.25">
      <c r="A37" s="1">
        <v>30</v>
      </c>
      <c r="B37" s="60" t="s">
        <v>192</v>
      </c>
      <c r="C37" s="10" t="str">
        <f>"000234/2015"</f>
        <v>000234/2015</v>
      </c>
      <c r="D37" s="56">
        <v>42118</v>
      </c>
      <c r="E37" s="59"/>
      <c r="F37" s="8">
        <v>1130</v>
      </c>
      <c r="G37" s="8">
        <v>1412.5</v>
      </c>
      <c r="H37" s="56">
        <v>42369</v>
      </c>
      <c r="I37" s="24">
        <v>1412.5</v>
      </c>
      <c r="J37" s="70"/>
    </row>
    <row r="38" spans="1:11" ht="36" x14ac:dyDescent="0.25">
      <c r="A38" s="1">
        <v>31</v>
      </c>
      <c r="B38" s="60" t="s">
        <v>192</v>
      </c>
      <c r="C38" s="10" t="str">
        <f>"235/2015"</f>
        <v>235/2015</v>
      </c>
      <c r="D38" s="56">
        <v>42118</v>
      </c>
      <c r="E38" s="59"/>
      <c r="F38" s="8">
        <v>1130</v>
      </c>
      <c r="G38" s="8">
        <v>1412.5</v>
      </c>
      <c r="H38" s="56">
        <v>42369</v>
      </c>
      <c r="I38" s="24">
        <v>1412.5</v>
      </c>
      <c r="J38" s="70"/>
    </row>
    <row r="39" spans="1:11" ht="36" x14ac:dyDescent="0.25">
      <c r="A39" s="1">
        <v>32</v>
      </c>
      <c r="B39" s="60" t="s">
        <v>192</v>
      </c>
      <c r="C39" s="10" t="str">
        <f>"236/2015"</f>
        <v>236/2015</v>
      </c>
      <c r="D39" s="56">
        <v>42118</v>
      </c>
      <c r="E39" s="59"/>
      <c r="F39" s="8">
        <v>2342</v>
      </c>
      <c r="G39" s="8">
        <v>2927.5</v>
      </c>
      <c r="H39" s="56">
        <v>42369</v>
      </c>
      <c r="I39" s="24">
        <v>2927.5</v>
      </c>
      <c r="J39" s="70"/>
      <c r="K39" s="48"/>
    </row>
    <row r="40" spans="1:11" ht="36" x14ac:dyDescent="0.25">
      <c r="A40" s="1">
        <v>33</v>
      </c>
      <c r="B40" s="60" t="s">
        <v>192</v>
      </c>
      <c r="C40" s="10" t="str">
        <f>"237/2015"</f>
        <v>237/2015</v>
      </c>
      <c r="D40" s="56">
        <v>42118</v>
      </c>
      <c r="E40" s="59"/>
      <c r="F40" s="8">
        <v>190</v>
      </c>
      <c r="G40" s="8">
        <v>237.5</v>
      </c>
      <c r="H40" s="56">
        <v>42369</v>
      </c>
      <c r="I40" s="24">
        <v>237.5</v>
      </c>
      <c r="J40" s="70"/>
    </row>
    <row r="41" spans="1:11" ht="36" x14ac:dyDescent="0.25">
      <c r="A41" s="1">
        <v>34</v>
      </c>
      <c r="B41" s="60" t="s">
        <v>192</v>
      </c>
      <c r="C41" s="10" t="str">
        <f>"000238/2015"</f>
        <v>000238/2015</v>
      </c>
      <c r="D41" s="56">
        <v>42118</v>
      </c>
      <c r="E41" s="59"/>
      <c r="F41" s="8">
        <v>1130</v>
      </c>
      <c r="G41" s="8">
        <v>1412.5</v>
      </c>
      <c r="H41" s="56">
        <v>42369</v>
      </c>
      <c r="I41" s="24">
        <v>1412.5</v>
      </c>
      <c r="J41" s="70"/>
    </row>
    <row r="42" spans="1:11" ht="36" x14ac:dyDescent="0.25">
      <c r="A42" s="1">
        <v>35</v>
      </c>
      <c r="B42" s="60" t="s">
        <v>192</v>
      </c>
      <c r="C42" s="10" t="str">
        <f>"239/2015"</f>
        <v>239/2015</v>
      </c>
      <c r="D42" s="56">
        <v>42118</v>
      </c>
      <c r="E42" s="59"/>
      <c r="F42" s="8">
        <v>190</v>
      </c>
      <c r="G42" s="8">
        <v>237.5</v>
      </c>
      <c r="H42" s="56">
        <v>42369</v>
      </c>
      <c r="I42" s="24">
        <v>237.5</v>
      </c>
      <c r="J42" s="70"/>
    </row>
    <row r="43" spans="1:11" ht="36" x14ac:dyDescent="0.25">
      <c r="A43" s="1">
        <v>36</v>
      </c>
      <c r="B43" s="60" t="s">
        <v>192</v>
      </c>
      <c r="C43" s="10" t="str">
        <f>"240/2015"</f>
        <v>240/2015</v>
      </c>
      <c r="D43" s="56">
        <v>42118</v>
      </c>
      <c r="E43" s="59"/>
      <c r="F43" s="8">
        <v>1190</v>
      </c>
      <c r="G43" s="8">
        <v>1487.5</v>
      </c>
      <c r="H43" s="56">
        <v>42369</v>
      </c>
      <c r="I43" s="24">
        <v>1487.5</v>
      </c>
      <c r="J43" s="70"/>
    </row>
    <row r="44" spans="1:11" ht="36" x14ac:dyDescent="0.25">
      <c r="A44" s="1">
        <v>37</v>
      </c>
      <c r="B44" s="60" t="s">
        <v>192</v>
      </c>
      <c r="C44" s="10" t="str">
        <f>"246/2015"</f>
        <v>246/2015</v>
      </c>
      <c r="D44" s="56">
        <v>42121</v>
      </c>
      <c r="E44" s="59"/>
      <c r="F44" s="8">
        <v>1260</v>
      </c>
      <c r="G44" s="8">
        <v>1575</v>
      </c>
      <c r="H44" s="56">
        <v>42369</v>
      </c>
      <c r="I44" s="24">
        <v>1575</v>
      </c>
      <c r="J44" s="70"/>
    </row>
    <row r="45" spans="1:11" ht="36" x14ac:dyDescent="0.25">
      <c r="A45" s="1">
        <v>38</v>
      </c>
      <c r="B45" s="60" t="s">
        <v>192</v>
      </c>
      <c r="C45" s="10" t="str">
        <f>"248/2015"</f>
        <v>248/2015</v>
      </c>
      <c r="D45" s="56">
        <v>42123</v>
      </c>
      <c r="E45" s="59"/>
      <c r="F45" s="8">
        <v>1220</v>
      </c>
      <c r="G45" s="8">
        <v>1525</v>
      </c>
      <c r="H45" s="56">
        <v>42369</v>
      </c>
      <c r="I45" s="24">
        <v>1525</v>
      </c>
      <c r="J45" s="70"/>
    </row>
    <row r="46" spans="1:11" ht="36" x14ac:dyDescent="0.25">
      <c r="A46" s="1">
        <v>39</v>
      </c>
      <c r="B46" s="60" t="s">
        <v>192</v>
      </c>
      <c r="C46" s="10" t="str">
        <f>"774/2015"</f>
        <v>774/2015</v>
      </c>
      <c r="D46" s="56">
        <v>42339</v>
      </c>
      <c r="E46" s="59"/>
      <c r="F46" s="8">
        <v>1490</v>
      </c>
      <c r="G46" s="8">
        <v>1862.5</v>
      </c>
      <c r="H46" s="162"/>
      <c r="I46" s="167">
        <v>0</v>
      </c>
      <c r="J46" s="77"/>
    </row>
    <row r="47" spans="1:11" ht="36" x14ac:dyDescent="0.25">
      <c r="A47" s="1">
        <v>40</v>
      </c>
      <c r="B47" s="60" t="s">
        <v>192</v>
      </c>
      <c r="C47" s="10" t="str">
        <f>"681/2015"</f>
        <v>681/2015</v>
      </c>
      <c r="D47" s="56">
        <v>42312</v>
      </c>
      <c r="E47" s="59"/>
      <c r="F47" s="8">
        <v>190</v>
      </c>
      <c r="G47" s="8">
        <v>237.5</v>
      </c>
      <c r="H47" s="56">
        <v>42369</v>
      </c>
      <c r="I47" s="24">
        <v>237.5</v>
      </c>
      <c r="J47" s="77"/>
      <c r="K47" s="48"/>
    </row>
    <row r="48" spans="1:11" ht="36" x14ac:dyDescent="0.25">
      <c r="A48" s="1">
        <v>41</v>
      </c>
      <c r="B48" s="60" t="s">
        <v>192</v>
      </c>
      <c r="C48" s="10" t="str">
        <f>"677/2015"</f>
        <v>677/2015</v>
      </c>
      <c r="D48" s="56">
        <v>42312</v>
      </c>
      <c r="E48" s="59"/>
      <c r="F48" s="8">
        <v>190</v>
      </c>
      <c r="G48" s="8">
        <v>237.5</v>
      </c>
      <c r="H48" s="56">
        <v>42369</v>
      </c>
      <c r="I48" s="24">
        <v>237.5</v>
      </c>
      <c r="J48" s="77"/>
    </row>
    <row r="49" spans="1:11" ht="36" x14ac:dyDescent="0.25">
      <c r="A49" s="1">
        <v>42</v>
      </c>
      <c r="B49" s="60" t="s">
        <v>192</v>
      </c>
      <c r="C49" s="10" t="str">
        <f>"676/2015"</f>
        <v>676/2015</v>
      </c>
      <c r="D49" s="56">
        <v>42312</v>
      </c>
      <c r="E49" s="59"/>
      <c r="F49" s="8">
        <v>250</v>
      </c>
      <c r="G49" s="8">
        <v>312.5</v>
      </c>
      <c r="H49" s="56">
        <v>42369</v>
      </c>
      <c r="I49" s="24">
        <v>312.5</v>
      </c>
      <c r="J49" s="77"/>
    </row>
    <row r="50" spans="1:11" ht="36" x14ac:dyDescent="0.25">
      <c r="A50" s="1">
        <v>43</v>
      </c>
      <c r="B50" s="60" t="s">
        <v>192</v>
      </c>
      <c r="C50" s="10" t="str">
        <f>"675/2015"</f>
        <v>675/2015</v>
      </c>
      <c r="D50" s="56">
        <v>42312</v>
      </c>
      <c r="E50" s="59"/>
      <c r="F50" s="8">
        <v>250</v>
      </c>
      <c r="G50" s="8">
        <v>312.5</v>
      </c>
      <c r="H50" s="56">
        <v>42369</v>
      </c>
      <c r="I50" s="24">
        <v>312.5</v>
      </c>
      <c r="J50" s="77"/>
    </row>
    <row r="51" spans="1:11" ht="36" x14ac:dyDescent="0.25">
      <c r="A51" s="1">
        <v>44</v>
      </c>
      <c r="B51" s="60" t="s">
        <v>192</v>
      </c>
      <c r="C51" s="10" t="str">
        <f>"674/2015"</f>
        <v>674/2015</v>
      </c>
      <c r="D51" s="56">
        <v>42312</v>
      </c>
      <c r="E51" s="59"/>
      <c r="F51" s="8">
        <v>250</v>
      </c>
      <c r="G51" s="8">
        <v>312.5</v>
      </c>
      <c r="H51" s="56">
        <v>42369</v>
      </c>
      <c r="I51" s="24">
        <v>312.5</v>
      </c>
      <c r="J51" s="77"/>
    </row>
    <row r="52" spans="1:11" ht="36" x14ac:dyDescent="0.25">
      <c r="A52" s="1">
        <v>45</v>
      </c>
      <c r="B52" s="60" t="s">
        <v>192</v>
      </c>
      <c r="C52" s="10" t="str">
        <f>"673/2015"</f>
        <v>673/2015</v>
      </c>
      <c r="D52" s="56">
        <v>42312</v>
      </c>
      <c r="E52" s="59"/>
      <c r="F52" s="8">
        <v>250</v>
      </c>
      <c r="G52" s="8">
        <v>312.5</v>
      </c>
      <c r="H52" s="56">
        <v>42369</v>
      </c>
      <c r="I52" s="24">
        <v>312.5</v>
      </c>
      <c r="J52" s="77"/>
    </row>
    <row r="53" spans="1:11" ht="36" x14ac:dyDescent="0.25">
      <c r="A53" s="1">
        <v>46</v>
      </c>
      <c r="B53" s="60" t="s">
        <v>192</v>
      </c>
      <c r="C53" s="10" t="str">
        <f>"672/2015"</f>
        <v>672/2015</v>
      </c>
      <c r="D53" s="56">
        <v>42312</v>
      </c>
      <c r="E53" s="59"/>
      <c r="F53" s="8">
        <v>1298</v>
      </c>
      <c r="G53" s="8">
        <v>1622.5</v>
      </c>
      <c r="H53" s="56">
        <v>42369</v>
      </c>
      <c r="I53" s="24">
        <v>1622.5</v>
      </c>
      <c r="J53" s="77"/>
    </row>
    <row r="54" spans="1:11" ht="36" x14ac:dyDescent="0.25">
      <c r="A54" s="1">
        <v>47</v>
      </c>
      <c r="B54" s="60" t="s">
        <v>192</v>
      </c>
      <c r="C54" s="10" t="str">
        <f>"671/2015"</f>
        <v>671/2015</v>
      </c>
      <c r="D54" s="56">
        <v>42312</v>
      </c>
      <c r="E54" s="59"/>
      <c r="F54" s="8">
        <v>1298</v>
      </c>
      <c r="G54" s="8">
        <v>1622.5</v>
      </c>
      <c r="H54" s="56">
        <v>42369</v>
      </c>
      <c r="I54" s="24">
        <v>1622.5</v>
      </c>
      <c r="J54" s="77"/>
    </row>
    <row r="55" spans="1:11" ht="36" x14ac:dyDescent="0.25">
      <c r="A55" s="1">
        <v>48</v>
      </c>
      <c r="B55" s="60" t="s">
        <v>192</v>
      </c>
      <c r="C55" s="10" t="str">
        <f>"670/2015"</f>
        <v>670/2015</v>
      </c>
      <c r="D55" s="56">
        <v>42312</v>
      </c>
      <c r="E55" s="59"/>
      <c r="F55" s="8">
        <v>1298</v>
      </c>
      <c r="G55" s="8">
        <v>1622.5</v>
      </c>
      <c r="H55" s="56">
        <v>42369</v>
      </c>
      <c r="I55" s="24">
        <v>1622.5</v>
      </c>
      <c r="J55" s="77"/>
      <c r="K55" s="48"/>
    </row>
    <row r="56" spans="1:11" ht="36" x14ac:dyDescent="0.25">
      <c r="A56" s="1">
        <v>49</v>
      </c>
      <c r="B56" s="60" t="s">
        <v>192</v>
      </c>
      <c r="C56" s="10" t="str">
        <f>"669/2015"</f>
        <v>669/2015</v>
      </c>
      <c r="D56" s="56">
        <v>42312</v>
      </c>
      <c r="E56" s="59"/>
      <c r="F56" s="8">
        <v>250</v>
      </c>
      <c r="G56" s="8">
        <v>312.5</v>
      </c>
      <c r="H56" s="56">
        <v>42369</v>
      </c>
      <c r="I56" s="24">
        <v>312.5</v>
      </c>
      <c r="J56" s="77"/>
    </row>
    <row r="57" spans="1:11" ht="36" x14ac:dyDescent="0.25">
      <c r="A57" s="1">
        <v>50</v>
      </c>
      <c r="B57" s="60" t="s">
        <v>192</v>
      </c>
      <c r="C57" s="10" t="str">
        <f>"667/2015"</f>
        <v>667/2015</v>
      </c>
      <c r="D57" s="56">
        <v>42312</v>
      </c>
      <c r="E57" s="59"/>
      <c r="F57" s="8">
        <v>250</v>
      </c>
      <c r="G57" s="8">
        <v>312.5</v>
      </c>
      <c r="H57" s="56">
        <v>42369</v>
      </c>
      <c r="I57" s="24">
        <v>312.5</v>
      </c>
      <c r="J57" s="77"/>
    </row>
    <row r="58" spans="1:11" ht="36" x14ac:dyDescent="0.25">
      <c r="A58" s="1">
        <v>51</v>
      </c>
      <c r="B58" s="60" t="s">
        <v>192</v>
      </c>
      <c r="C58" s="10" t="str">
        <f>"666/2015"</f>
        <v>666/2015</v>
      </c>
      <c r="D58" s="56">
        <v>42312</v>
      </c>
      <c r="E58" s="59"/>
      <c r="F58" s="8">
        <v>250</v>
      </c>
      <c r="G58" s="8">
        <v>312.5</v>
      </c>
      <c r="H58" s="56">
        <v>42369</v>
      </c>
      <c r="I58" s="24">
        <v>312.5</v>
      </c>
      <c r="J58" s="77"/>
    </row>
    <row r="59" spans="1:11" ht="36" x14ac:dyDescent="0.25">
      <c r="A59" s="1">
        <v>52</v>
      </c>
      <c r="B59" s="60" t="s">
        <v>192</v>
      </c>
      <c r="C59" s="10" t="str">
        <f>"665/2015"</f>
        <v>665/2015</v>
      </c>
      <c r="D59" s="56">
        <v>42312</v>
      </c>
      <c r="E59" s="59"/>
      <c r="F59" s="8">
        <v>1298</v>
      </c>
      <c r="G59" s="8">
        <v>1622.5</v>
      </c>
      <c r="H59" s="56">
        <v>42369</v>
      </c>
      <c r="I59" s="24">
        <v>1622.5</v>
      </c>
      <c r="J59" s="77"/>
    </row>
    <row r="60" spans="1:11" ht="36" x14ac:dyDescent="0.25">
      <c r="A60" s="1">
        <v>53</v>
      </c>
      <c r="B60" s="60" t="s">
        <v>192</v>
      </c>
      <c r="C60" s="10" t="str">
        <f>"000664/2015"</f>
        <v>000664/2015</v>
      </c>
      <c r="D60" s="56">
        <v>42312</v>
      </c>
      <c r="E60" s="59"/>
      <c r="F60" s="8">
        <v>250</v>
      </c>
      <c r="G60" s="8">
        <v>312.5</v>
      </c>
      <c r="H60" s="56">
        <v>42369</v>
      </c>
      <c r="I60" s="24">
        <v>312.5</v>
      </c>
      <c r="J60" s="77"/>
    </row>
    <row r="61" spans="1:11" ht="36" x14ac:dyDescent="0.25">
      <c r="A61" s="1">
        <v>54</v>
      </c>
      <c r="B61" s="60" t="s">
        <v>192</v>
      </c>
      <c r="C61" s="10" t="str">
        <f>"000663/2015"</f>
        <v>000663/2015</v>
      </c>
      <c r="D61" s="56">
        <v>42312</v>
      </c>
      <c r="E61" s="59"/>
      <c r="F61" s="8">
        <v>190</v>
      </c>
      <c r="G61" s="8">
        <v>237.5</v>
      </c>
      <c r="H61" s="56">
        <v>42369</v>
      </c>
      <c r="I61" s="24">
        <v>237.5</v>
      </c>
      <c r="J61" s="77"/>
    </row>
    <row r="62" spans="1:11" ht="36" x14ac:dyDescent="0.25">
      <c r="A62" s="1">
        <v>55</v>
      </c>
      <c r="B62" s="60" t="s">
        <v>192</v>
      </c>
      <c r="C62" s="10" t="str">
        <f>"662/2015"</f>
        <v>662/2015</v>
      </c>
      <c r="D62" s="56">
        <v>42312</v>
      </c>
      <c r="E62" s="59"/>
      <c r="F62" s="8">
        <v>2538</v>
      </c>
      <c r="G62" s="8">
        <v>3172.5</v>
      </c>
      <c r="H62" s="56">
        <v>42369</v>
      </c>
      <c r="I62" s="24">
        <v>3172.5</v>
      </c>
      <c r="J62" s="77"/>
    </row>
    <row r="63" spans="1:11" ht="36" x14ac:dyDescent="0.25">
      <c r="A63" s="1">
        <v>56</v>
      </c>
      <c r="B63" s="60" t="s">
        <v>192</v>
      </c>
      <c r="C63" s="10" t="str">
        <f>"617/2015"</f>
        <v>617/2015</v>
      </c>
      <c r="D63" s="56">
        <v>42307</v>
      </c>
      <c r="E63" s="59"/>
      <c r="F63" s="8">
        <v>3438</v>
      </c>
      <c r="G63" s="8">
        <v>4297.5</v>
      </c>
      <c r="H63" s="56">
        <v>42369</v>
      </c>
      <c r="I63" s="24">
        <v>4297.5</v>
      </c>
      <c r="J63" s="77"/>
      <c r="K63" s="48"/>
    </row>
    <row r="64" spans="1:11" ht="24" x14ac:dyDescent="0.25">
      <c r="A64" s="1">
        <v>57</v>
      </c>
      <c r="B64" s="60" t="s">
        <v>191</v>
      </c>
      <c r="C64" s="10" t="str">
        <f>"13/2013-1 MFIN"</f>
        <v>13/2013-1 MFIN</v>
      </c>
      <c r="D64" s="56">
        <v>41837</v>
      </c>
      <c r="E64" s="59"/>
      <c r="F64" s="8">
        <v>0</v>
      </c>
      <c r="G64" s="8">
        <v>0</v>
      </c>
      <c r="H64" s="56">
        <v>42551</v>
      </c>
      <c r="I64" s="24">
        <v>35376.25</v>
      </c>
      <c r="J64" s="77"/>
    </row>
    <row r="65" spans="1:11" ht="36" x14ac:dyDescent="0.25">
      <c r="A65" s="1">
        <v>58</v>
      </c>
      <c r="B65" s="60" t="s">
        <v>192</v>
      </c>
      <c r="C65" s="10" t="str">
        <f>"DUOSZ - 13/2013-1"</f>
        <v>DUOSZ - 13/2013-1</v>
      </c>
      <c r="D65" s="56">
        <v>41758</v>
      </c>
      <c r="E65" s="59"/>
      <c r="F65" s="8">
        <v>31050</v>
      </c>
      <c r="G65" s="8">
        <v>38812.5</v>
      </c>
      <c r="H65" s="56">
        <v>42004</v>
      </c>
      <c r="I65" s="24">
        <v>38812.5</v>
      </c>
      <c r="J65" s="77"/>
    </row>
    <row r="66" spans="1:11" ht="24" x14ac:dyDescent="0.25">
      <c r="A66" s="1">
        <v>59</v>
      </c>
      <c r="B66" s="60" t="s">
        <v>186</v>
      </c>
      <c r="C66" s="10" t="str">
        <f>"406-01/14-01/0130"</f>
        <v>406-01/14-01/0130</v>
      </c>
      <c r="D66" s="56">
        <v>41954</v>
      </c>
      <c r="E66" s="59"/>
      <c r="F66" s="8">
        <v>29396</v>
      </c>
      <c r="G66" s="8">
        <v>36745</v>
      </c>
      <c r="H66" s="56">
        <v>42369</v>
      </c>
      <c r="I66" s="24">
        <v>23515.9375</v>
      </c>
      <c r="J66" s="77"/>
    </row>
    <row r="67" spans="1:11" ht="24" x14ac:dyDescent="0.25">
      <c r="A67" s="1">
        <v>60</v>
      </c>
      <c r="B67" s="60" t="s">
        <v>186</v>
      </c>
      <c r="C67" s="10" t="str">
        <f>"406-01/14-01/0130-A"</f>
        <v>406-01/14-01/0130-A</v>
      </c>
      <c r="D67" s="56">
        <v>42012</v>
      </c>
      <c r="E67" s="59"/>
      <c r="F67" s="8">
        <v>18716</v>
      </c>
      <c r="G67" s="8">
        <v>23395</v>
      </c>
      <c r="H67" s="56">
        <v>42369</v>
      </c>
      <c r="I67" s="24">
        <v>21645</v>
      </c>
      <c r="J67" s="77"/>
    </row>
    <row r="68" spans="1:11" ht="36" x14ac:dyDescent="0.25">
      <c r="A68" s="1">
        <v>61</v>
      </c>
      <c r="B68" s="60" t="s">
        <v>189</v>
      </c>
      <c r="C68" s="10" t="str">
        <f>"000127/2015"</f>
        <v>000127/2015</v>
      </c>
      <c r="D68" s="56">
        <v>42083</v>
      </c>
      <c r="E68" s="59"/>
      <c r="F68" s="8">
        <v>190</v>
      </c>
      <c r="G68" s="8">
        <v>237.5</v>
      </c>
      <c r="H68" s="56">
        <v>42369</v>
      </c>
      <c r="I68" s="24">
        <v>59.375</v>
      </c>
      <c r="J68" s="77"/>
    </row>
    <row r="69" spans="1:11" ht="36" x14ac:dyDescent="0.25">
      <c r="A69" s="1">
        <v>62</v>
      </c>
      <c r="B69" s="60" t="s">
        <v>189</v>
      </c>
      <c r="C69" s="10" t="str">
        <f>"000166/2015"</f>
        <v>000166/2015</v>
      </c>
      <c r="D69" s="56">
        <v>42104</v>
      </c>
      <c r="E69" s="59"/>
      <c r="F69" s="8">
        <v>7321</v>
      </c>
      <c r="G69" s="8">
        <v>9151.25</v>
      </c>
      <c r="H69" s="56">
        <v>42369</v>
      </c>
      <c r="I69" s="24">
        <v>9095</v>
      </c>
      <c r="J69" s="77"/>
    </row>
    <row r="70" spans="1:11" ht="36" x14ac:dyDescent="0.25">
      <c r="A70" s="1">
        <v>63</v>
      </c>
      <c r="B70" s="60" t="s">
        <v>189</v>
      </c>
      <c r="C70" s="10" t="str">
        <f>"000464/2015"</f>
        <v>000464/2015</v>
      </c>
      <c r="D70" s="56">
        <v>42299</v>
      </c>
      <c r="E70" s="59"/>
      <c r="F70" s="8">
        <v>810</v>
      </c>
      <c r="G70" s="8">
        <v>1012.5</v>
      </c>
      <c r="H70" s="56">
        <v>42369</v>
      </c>
      <c r="I70" s="24">
        <v>862.5</v>
      </c>
      <c r="J70" s="77"/>
    </row>
    <row r="71" spans="1:11" ht="36" x14ac:dyDescent="0.25">
      <c r="A71" s="1">
        <v>64</v>
      </c>
      <c r="B71" s="60" t="s">
        <v>189</v>
      </c>
      <c r="C71" s="10" t="str">
        <f>"000526/2015"</f>
        <v>000526/2015</v>
      </c>
      <c r="D71" s="56">
        <v>42333</v>
      </c>
      <c r="E71" s="59"/>
      <c r="F71" s="8">
        <v>3594</v>
      </c>
      <c r="G71" s="8">
        <v>4492.5</v>
      </c>
      <c r="H71" s="56">
        <v>42369</v>
      </c>
      <c r="I71" s="24">
        <v>4492.5</v>
      </c>
      <c r="J71" s="77"/>
      <c r="K71" s="48"/>
    </row>
    <row r="72" spans="1:11" x14ac:dyDescent="0.25">
      <c r="A72" s="1">
        <v>65</v>
      </c>
      <c r="B72" s="60" t="s">
        <v>212</v>
      </c>
      <c r="C72" s="10" t="str">
        <f>"13/2013-1"</f>
        <v>13/2013-1</v>
      </c>
      <c r="D72" s="56">
        <v>42481</v>
      </c>
      <c r="E72" s="59"/>
      <c r="F72" s="8">
        <v>0</v>
      </c>
      <c r="G72" s="8">
        <v>0</v>
      </c>
      <c r="H72" s="162"/>
      <c r="I72" s="167">
        <v>0</v>
      </c>
      <c r="J72" s="70"/>
    </row>
    <row r="73" spans="1:11" ht="24" x14ac:dyDescent="0.25">
      <c r="A73" s="1">
        <v>66</v>
      </c>
      <c r="B73" s="60" t="s">
        <v>194</v>
      </c>
      <c r="C73" s="10" t="str">
        <f>"764/17"</f>
        <v>764/17</v>
      </c>
      <c r="D73" s="56">
        <v>43097</v>
      </c>
      <c r="E73" s="56">
        <v>43097</v>
      </c>
      <c r="F73" s="8">
        <v>3950</v>
      </c>
      <c r="G73" s="8">
        <v>4937.5</v>
      </c>
      <c r="H73" s="56">
        <v>43100</v>
      </c>
      <c r="I73" s="24">
        <v>4937.5</v>
      </c>
      <c r="J73" s="70"/>
    </row>
    <row r="74" spans="1:11" ht="24" x14ac:dyDescent="0.25">
      <c r="A74" s="1">
        <v>67</v>
      </c>
      <c r="B74" s="60" t="s">
        <v>191</v>
      </c>
      <c r="C74" s="10" t="str">
        <f>"MFIN-NARUDŽ.17603"</f>
        <v>MFIN-NARUDŽ.17603</v>
      </c>
      <c r="D74" s="56">
        <v>43083</v>
      </c>
      <c r="E74" s="56">
        <v>43083</v>
      </c>
      <c r="F74" s="8">
        <v>1940</v>
      </c>
      <c r="G74" s="8">
        <v>2425</v>
      </c>
      <c r="H74" s="56">
        <v>43083</v>
      </c>
      <c r="I74" s="24">
        <v>2425</v>
      </c>
      <c r="J74" s="70"/>
    </row>
    <row r="75" spans="1:11" ht="24" x14ac:dyDescent="0.25">
      <c r="A75" s="1">
        <v>68</v>
      </c>
      <c r="B75" s="60" t="s">
        <v>18</v>
      </c>
      <c r="C75" s="10" t="str">
        <f>"SNUG-201-17-1037"</f>
        <v>SNUG-201-17-1037</v>
      </c>
      <c r="D75" s="56">
        <v>43068</v>
      </c>
      <c r="E75" s="56">
        <v>43100</v>
      </c>
      <c r="F75" s="8">
        <v>516533</v>
      </c>
      <c r="G75" s="8">
        <v>645666.25</v>
      </c>
      <c r="H75" s="56">
        <v>43100</v>
      </c>
      <c r="I75" s="24">
        <v>364890</v>
      </c>
      <c r="J75" s="70"/>
    </row>
    <row r="76" spans="1:11" x14ac:dyDescent="0.25">
      <c r="A76" s="1">
        <v>69</v>
      </c>
      <c r="B76" s="60" t="s">
        <v>16</v>
      </c>
      <c r="C76" s="10" t="str">
        <f>"270/2017"</f>
        <v>270/2017</v>
      </c>
      <c r="D76" s="56">
        <v>41837</v>
      </c>
      <c r="E76" s="56">
        <v>43298</v>
      </c>
      <c r="F76" s="8">
        <v>432</v>
      </c>
      <c r="G76" s="8">
        <v>540</v>
      </c>
      <c r="H76" s="56">
        <v>43100</v>
      </c>
      <c r="I76" s="24">
        <v>540</v>
      </c>
      <c r="J76" s="70"/>
    </row>
    <row r="77" spans="1:11" ht="24" x14ac:dyDescent="0.25">
      <c r="A77" s="1">
        <v>70</v>
      </c>
      <c r="B77" s="60" t="s">
        <v>197</v>
      </c>
      <c r="C77" s="10" t="str">
        <f>"N504/2017DT"</f>
        <v>N504/2017DT</v>
      </c>
      <c r="D77" s="56">
        <v>43049</v>
      </c>
      <c r="E77" s="56">
        <v>43057</v>
      </c>
      <c r="F77" s="8">
        <v>4034</v>
      </c>
      <c r="G77" s="8">
        <v>5042.5</v>
      </c>
      <c r="H77" s="56">
        <v>43057</v>
      </c>
      <c r="I77" s="24">
        <v>5042.5</v>
      </c>
      <c r="J77" s="70"/>
    </row>
    <row r="78" spans="1:11" ht="36" x14ac:dyDescent="0.25">
      <c r="A78" s="1">
        <v>71</v>
      </c>
      <c r="B78" s="60" t="s">
        <v>97</v>
      </c>
      <c r="C78" s="10" t="str">
        <f>"519-02-2-1-1/4-17-23"</f>
        <v>519-02-2-1-1/4-17-23</v>
      </c>
      <c r="D78" s="56">
        <v>43049</v>
      </c>
      <c r="E78" s="56">
        <v>43049</v>
      </c>
      <c r="F78" s="8">
        <v>4020</v>
      </c>
      <c r="G78" s="8">
        <v>5025</v>
      </c>
      <c r="H78" s="56">
        <v>43049</v>
      </c>
      <c r="I78" s="24">
        <v>5025</v>
      </c>
      <c r="J78" s="70"/>
    </row>
    <row r="79" spans="1:11" ht="48" x14ac:dyDescent="0.25">
      <c r="A79" s="1">
        <v>72</v>
      </c>
      <c r="B79" s="60" t="s">
        <v>203</v>
      </c>
      <c r="C79" s="10" t="str">
        <f>"NARUDŽBENICE 1013,1036,1190/17"</f>
        <v>NARUDŽBENICE 1013,1036,1190/17</v>
      </c>
      <c r="D79" s="56">
        <v>43046</v>
      </c>
      <c r="E79" s="56">
        <v>43083</v>
      </c>
      <c r="F79" s="8">
        <v>24702</v>
      </c>
      <c r="G79" s="8">
        <v>30877.5</v>
      </c>
      <c r="H79" s="56">
        <v>43083</v>
      </c>
      <c r="I79" s="24">
        <v>30877.5</v>
      </c>
      <c r="J79" s="70"/>
      <c r="K79" s="48"/>
    </row>
    <row r="80" spans="1:11" ht="24" x14ac:dyDescent="0.25">
      <c r="A80" s="1">
        <v>73</v>
      </c>
      <c r="B80" s="60" t="s">
        <v>194</v>
      </c>
      <c r="C80" s="10" t="str">
        <f>"651/17"</f>
        <v>651/17</v>
      </c>
      <c r="D80" s="56">
        <v>43042</v>
      </c>
      <c r="E80" s="56">
        <v>43042</v>
      </c>
      <c r="F80" s="8">
        <v>750</v>
      </c>
      <c r="G80" s="8">
        <v>937.5</v>
      </c>
      <c r="H80" s="56">
        <v>43100</v>
      </c>
      <c r="I80" s="24">
        <v>937.5</v>
      </c>
      <c r="J80" s="70"/>
    </row>
    <row r="81" spans="1:11" x14ac:dyDescent="0.25">
      <c r="A81" s="1">
        <v>74</v>
      </c>
      <c r="B81" s="60" t="s">
        <v>278</v>
      </c>
      <c r="C81" s="10" t="str">
        <f>"194/2017"</f>
        <v>194/2017</v>
      </c>
      <c r="D81" s="56">
        <v>43038</v>
      </c>
      <c r="E81" s="56">
        <v>43174</v>
      </c>
      <c r="F81" s="8">
        <v>10356</v>
      </c>
      <c r="G81" s="8">
        <v>12945</v>
      </c>
      <c r="H81" s="56">
        <v>43100</v>
      </c>
      <c r="I81" s="24">
        <v>10027.5</v>
      </c>
      <c r="J81" s="70"/>
    </row>
    <row r="82" spans="1:11" ht="36" x14ac:dyDescent="0.25">
      <c r="A82" s="1">
        <v>75</v>
      </c>
      <c r="B82" s="60" t="s">
        <v>97</v>
      </c>
      <c r="C82" s="10" t="str">
        <f>"519-02-2-1-1/4-17-21"</f>
        <v>519-02-2-1-1/4-17-21</v>
      </c>
      <c r="D82" s="56">
        <v>43038</v>
      </c>
      <c r="E82" s="56">
        <v>43041</v>
      </c>
      <c r="F82" s="8">
        <v>2718</v>
      </c>
      <c r="G82" s="8">
        <v>3397.5</v>
      </c>
      <c r="H82" s="56">
        <v>43039</v>
      </c>
      <c r="I82" s="24">
        <v>3397.5</v>
      </c>
      <c r="J82" s="70"/>
    </row>
    <row r="83" spans="1:11" ht="24" x14ac:dyDescent="0.25">
      <c r="A83" s="1">
        <v>76</v>
      </c>
      <c r="B83" s="60" t="s">
        <v>197</v>
      </c>
      <c r="C83" s="10" t="str">
        <f>"N481/2017DT"</f>
        <v>N481/2017DT</v>
      </c>
      <c r="D83" s="56">
        <v>43034</v>
      </c>
      <c r="E83" s="56">
        <v>43059</v>
      </c>
      <c r="F83" s="8">
        <v>4034</v>
      </c>
      <c r="G83" s="8">
        <v>5042.5</v>
      </c>
      <c r="H83" s="56">
        <v>43059</v>
      </c>
      <c r="I83" s="24">
        <v>5042.5</v>
      </c>
      <c r="J83" s="70"/>
    </row>
    <row r="84" spans="1:11" ht="24" x14ac:dyDescent="0.25">
      <c r="A84" s="1">
        <v>77</v>
      </c>
      <c r="B84" s="60" t="s">
        <v>193</v>
      </c>
      <c r="C84" s="10" t="str">
        <f>"64-61-14-1-5"</f>
        <v>64-61-14-1-5</v>
      </c>
      <c r="D84" s="56">
        <v>43033</v>
      </c>
      <c r="E84" s="56">
        <v>43398</v>
      </c>
      <c r="F84" s="8">
        <v>96720</v>
      </c>
      <c r="G84" s="8">
        <v>120900</v>
      </c>
      <c r="H84" s="56">
        <v>43100</v>
      </c>
      <c r="I84" s="24">
        <v>48600</v>
      </c>
      <c r="J84" s="70"/>
    </row>
    <row r="85" spans="1:11" x14ac:dyDescent="0.25">
      <c r="A85" s="1">
        <v>78</v>
      </c>
      <c r="B85" s="60" t="s">
        <v>16</v>
      </c>
      <c r="C85" s="10" t="str">
        <f>"256/2017"</f>
        <v>256/2017</v>
      </c>
      <c r="D85" s="56">
        <v>41837</v>
      </c>
      <c r="E85" s="56">
        <v>43298</v>
      </c>
      <c r="F85" s="8">
        <v>4430</v>
      </c>
      <c r="G85" s="8">
        <v>5537.5</v>
      </c>
      <c r="H85" s="56">
        <v>43100</v>
      </c>
      <c r="I85" s="24">
        <v>5537.5</v>
      </c>
      <c r="J85" s="70"/>
    </row>
    <row r="86" spans="1:11" ht="24" x14ac:dyDescent="0.25">
      <c r="A86" s="1">
        <v>79</v>
      </c>
      <c r="B86" s="60" t="s">
        <v>197</v>
      </c>
      <c r="C86" s="10" t="str">
        <f>"N473/2017DT"</f>
        <v>N473/2017DT</v>
      </c>
      <c r="D86" s="56">
        <v>43033</v>
      </c>
      <c r="E86" s="56">
        <v>43047</v>
      </c>
      <c r="F86" s="8">
        <v>4034</v>
      </c>
      <c r="G86" s="8">
        <v>5042.5</v>
      </c>
      <c r="H86" s="56">
        <v>43047</v>
      </c>
      <c r="I86" s="24">
        <v>5042.5</v>
      </c>
      <c r="J86" s="70"/>
    </row>
    <row r="87" spans="1:11" ht="24" x14ac:dyDescent="0.25">
      <c r="A87" s="1">
        <v>80</v>
      </c>
      <c r="B87" s="60" t="s">
        <v>197</v>
      </c>
      <c r="C87" s="10" t="str">
        <f>"N474/2017DT"</f>
        <v>N474/2017DT</v>
      </c>
      <c r="D87" s="56">
        <v>43033</v>
      </c>
      <c r="E87" s="56">
        <v>43035</v>
      </c>
      <c r="F87" s="8">
        <v>3050</v>
      </c>
      <c r="G87" s="8">
        <v>3812.5</v>
      </c>
      <c r="H87" s="56">
        <v>43035</v>
      </c>
      <c r="I87" s="24">
        <v>3297.5</v>
      </c>
      <c r="J87" s="70"/>
      <c r="K87" s="48"/>
    </row>
    <row r="88" spans="1:11" ht="24" x14ac:dyDescent="0.25">
      <c r="A88" s="1">
        <v>81</v>
      </c>
      <c r="B88" s="60" t="s">
        <v>197</v>
      </c>
      <c r="C88" s="10" t="str">
        <f>"N478/2017DT"</f>
        <v>N478/2017DT</v>
      </c>
      <c r="D88" s="56">
        <v>43033</v>
      </c>
      <c r="E88" s="56">
        <v>43038</v>
      </c>
      <c r="F88" s="8">
        <v>8068</v>
      </c>
      <c r="G88" s="8">
        <v>10085</v>
      </c>
      <c r="H88" s="56">
        <v>43038</v>
      </c>
      <c r="I88" s="24">
        <v>10085</v>
      </c>
      <c r="J88" s="70"/>
    </row>
    <row r="89" spans="1:11" ht="36" x14ac:dyDescent="0.25">
      <c r="A89" s="1">
        <v>82</v>
      </c>
      <c r="B89" s="60" t="s">
        <v>189</v>
      </c>
      <c r="C89" s="10" t="str">
        <f>"749/2017"</f>
        <v>749/2017</v>
      </c>
      <c r="D89" s="56">
        <v>43032</v>
      </c>
      <c r="E89" s="56">
        <v>43063</v>
      </c>
      <c r="F89" s="8">
        <v>750</v>
      </c>
      <c r="G89" s="8">
        <v>937.5</v>
      </c>
      <c r="H89" s="56">
        <v>43100</v>
      </c>
      <c r="I89" s="24">
        <v>937.5</v>
      </c>
      <c r="J89" s="70"/>
    </row>
    <row r="90" spans="1:11" ht="36" x14ac:dyDescent="0.25">
      <c r="A90" s="1">
        <v>83</v>
      </c>
      <c r="B90" s="60" t="s">
        <v>189</v>
      </c>
      <c r="C90" s="10" t="str">
        <f>"000736"</f>
        <v>000736</v>
      </c>
      <c r="D90" s="56">
        <v>43033</v>
      </c>
      <c r="E90" s="56">
        <v>43062</v>
      </c>
      <c r="F90" s="8">
        <v>2778</v>
      </c>
      <c r="G90" s="8">
        <v>3472.5</v>
      </c>
      <c r="H90" s="56">
        <v>43100</v>
      </c>
      <c r="I90" s="24">
        <v>3397.5</v>
      </c>
      <c r="J90" s="77"/>
    </row>
    <row r="91" spans="1:11" x14ac:dyDescent="0.25">
      <c r="A91" s="1">
        <v>84</v>
      </c>
      <c r="B91" s="60" t="s">
        <v>204</v>
      </c>
      <c r="C91" s="10" t="str">
        <f>"17R0000647"</f>
        <v>17R0000647</v>
      </c>
      <c r="D91" s="56">
        <v>43025</v>
      </c>
      <c r="E91" s="56">
        <v>43054</v>
      </c>
      <c r="F91" s="8">
        <v>2600</v>
      </c>
      <c r="G91" s="8">
        <v>3250</v>
      </c>
      <c r="H91" s="56">
        <v>43054</v>
      </c>
      <c r="I91" s="24">
        <v>3250</v>
      </c>
      <c r="J91" s="77"/>
    </row>
    <row r="92" spans="1:11" ht="24" x14ac:dyDescent="0.25">
      <c r="A92" s="1">
        <v>85</v>
      </c>
      <c r="B92" s="60" t="s">
        <v>197</v>
      </c>
      <c r="C92" s="10" t="str">
        <f>"N463/2017DT"</f>
        <v>N463/2017DT</v>
      </c>
      <c r="D92" s="56">
        <v>43021</v>
      </c>
      <c r="E92" s="56">
        <v>43062</v>
      </c>
      <c r="F92" s="8">
        <v>4034</v>
      </c>
      <c r="G92" s="8">
        <v>5042.5</v>
      </c>
      <c r="H92" s="56">
        <v>43062</v>
      </c>
      <c r="I92" s="24">
        <v>5042.5</v>
      </c>
      <c r="J92" s="77"/>
    </row>
    <row r="93" spans="1:11" x14ac:dyDescent="0.25">
      <c r="A93" s="1">
        <v>86</v>
      </c>
      <c r="B93" s="60" t="s">
        <v>16</v>
      </c>
      <c r="C93" s="10" t="str">
        <f>"230/2017"</f>
        <v>230/2017</v>
      </c>
      <c r="D93" s="56">
        <v>41837</v>
      </c>
      <c r="E93" s="56">
        <v>43298</v>
      </c>
      <c r="F93" s="8">
        <v>4736</v>
      </c>
      <c r="G93" s="8">
        <v>5920</v>
      </c>
      <c r="H93" s="56">
        <v>43100</v>
      </c>
      <c r="I93" s="24">
        <v>0</v>
      </c>
      <c r="J93" s="77"/>
    </row>
    <row r="94" spans="1:11" ht="24" x14ac:dyDescent="0.25">
      <c r="A94" s="1">
        <v>87</v>
      </c>
      <c r="B94" s="60" t="s">
        <v>197</v>
      </c>
      <c r="C94" s="10" t="str">
        <f>"N456/2017DT"</f>
        <v>N456/2017DT</v>
      </c>
      <c r="D94" s="56">
        <v>43019</v>
      </c>
      <c r="E94" s="56">
        <v>43048</v>
      </c>
      <c r="F94" s="8">
        <v>4034</v>
      </c>
      <c r="G94" s="8">
        <v>5042.5</v>
      </c>
      <c r="H94" s="56">
        <v>43048</v>
      </c>
      <c r="I94" s="24">
        <v>5042.5</v>
      </c>
      <c r="J94" s="77"/>
    </row>
    <row r="95" spans="1:11" ht="24" x14ac:dyDescent="0.25">
      <c r="A95" s="1">
        <v>88</v>
      </c>
      <c r="B95" s="60" t="s">
        <v>197</v>
      </c>
      <c r="C95" s="10" t="str">
        <f>"N439/2017DT"</f>
        <v>N439/2017DT</v>
      </c>
      <c r="D95" s="56">
        <v>43017</v>
      </c>
      <c r="E95" s="56">
        <v>43027</v>
      </c>
      <c r="F95" s="8">
        <v>3894</v>
      </c>
      <c r="G95" s="8">
        <v>4867.5</v>
      </c>
      <c r="H95" s="56">
        <v>43027</v>
      </c>
      <c r="I95" s="24">
        <v>4867.5</v>
      </c>
      <c r="J95" s="77"/>
      <c r="K95" s="48"/>
    </row>
    <row r="96" spans="1:11" ht="24" x14ac:dyDescent="0.25">
      <c r="A96" s="1">
        <v>89</v>
      </c>
      <c r="B96" s="60" t="s">
        <v>197</v>
      </c>
      <c r="C96" s="10" t="str">
        <f>"N434/2017DT"</f>
        <v>N434/2017DT</v>
      </c>
      <c r="D96" s="56">
        <v>43013</v>
      </c>
      <c r="E96" s="56">
        <v>43027</v>
      </c>
      <c r="F96" s="8">
        <v>4034</v>
      </c>
      <c r="G96" s="8">
        <v>5042.5</v>
      </c>
      <c r="H96" s="56">
        <v>43027</v>
      </c>
      <c r="I96" s="24">
        <v>5042.5</v>
      </c>
      <c r="J96" s="77"/>
    </row>
    <row r="97" spans="1:10" ht="24" x14ac:dyDescent="0.25">
      <c r="A97" s="1">
        <v>90</v>
      </c>
      <c r="B97" s="60" t="s">
        <v>197</v>
      </c>
      <c r="C97" s="10" t="str">
        <f>"N431/2017DT"</f>
        <v>N431/2017DT</v>
      </c>
      <c r="D97" s="56">
        <v>43012</v>
      </c>
      <c r="E97" s="56">
        <v>43026</v>
      </c>
      <c r="F97" s="8">
        <v>2638</v>
      </c>
      <c r="G97" s="8">
        <v>3297.5</v>
      </c>
      <c r="H97" s="56">
        <v>43026</v>
      </c>
      <c r="I97" s="24">
        <v>3297.5</v>
      </c>
      <c r="J97" s="77"/>
    </row>
    <row r="98" spans="1:10" ht="36" x14ac:dyDescent="0.25">
      <c r="A98" s="1">
        <v>91</v>
      </c>
      <c r="B98" s="60" t="s">
        <v>192</v>
      </c>
      <c r="C98" s="10" t="str">
        <f>"N-671, 670, 669, 667/2017"</f>
        <v>N-671, 670, 669, 667/2017</v>
      </c>
      <c r="D98" s="56">
        <v>43100</v>
      </c>
      <c r="E98" s="56">
        <v>43100</v>
      </c>
      <c r="F98" s="8">
        <v>1250</v>
      </c>
      <c r="G98" s="8">
        <v>1562.5</v>
      </c>
      <c r="H98" s="56">
        <v>43100</v>
      </c>
      <c r="I98" s="24">
        <v>1562.5</v>
      </c>
      <c r="J98" s="77"/>
    </row>
    <row r="99" spans="1:10" ht="36" x14ac:dyDescent="0.25">
      <c r="A99" s="1">
        <v>92</v>
      </c>
      <c r="B99" s="60" t="s">
        <v>192</v>
      </c>
      <c r="C99" s="10" t="str">
        <f>"N-719, 632, 628/2017"</f>
        <v>N-719, 632, 628/2017</v>
      </c>
      <c r="D99" s="56">
        <v>43100</v>
      </c>
      <c r="E99" s="56">
        <v>43100</v>
      </c>
      <c r="F99" s="8">
        <v>3142.5</v>
      </c>
      <c r="G99" s="8">
        <v>3928.13</v>
      </c>
      <c r="H99" s="56">
        <v>43100</v>
      </c>
      <c r="I99" s="24">
        <v>3928.125</v>
      </c>
      <c r="J99" s="77"/>
    </row>
    <row r="100" spans="1:10" ht="36" x14ac:dyDescent="0.25">
      <c r="A100" s="1">
        <v>93</v>
      </c>
      <c r="B100" s="60" t="s">
        <v>192</v>
      </c>
      <c r="C100" s="10" t="str">
        <f>"N-629, 630, 631, 647/2017"</f>
        <v>N-629, 630, 631, 647/2017</v>
      </c>
      <c r="D100" s="56">
        <v>43100</v>
      </c>
      <c r="E100" s="56">
        <v>43100</v>
      </c>
      <c r="F100" s="8">
        <v>5002.25</v>
      </c>
      <c r="G100" s="8">
        <v>6252.81</v>
      </c>
      <c r="H100" s="56">
        <v>43100</v>
      </c>
      <c r="I100" s="24">
        <v>6252.8125</v>
      </c>
      <c r="J100" s="77"/>
    </row>
    <row r="101" spans="1:10" ht="36" x14ac:dyDescent="0.25">
      <c r="A101" s="1">
        <v>94</v>
      </c>
      <c r="B101" s="60" t="s">
        <v>192</v>
      </c>
      <c r="C101" s="10" t="str">
        <f>"N-692, 693, 673, 672/2017"</f>
        <v>N-692, 693, 673, 672/2017</v>
      </c>
      <c r="D101" s="56">
        <v>43100</v>
      </c>
      <c r="E101" s="56">
        <v>43100</v>
      </c>
      <c r="F101" s="8">
        <v>5240</v>
      </c>
      <c r="G101" s="8">
        <v>6550</v>
      </c>
      <c r="H101" s="56">
        <v>43100</v>
      </c>
      <c r="I101" s="24">
        <v>6550</v>
      </c>
      <c r="J101" s="77"/>
    </row>
    <row r="102" spans="1:10" ht="24" x14ac:dyDescent="0.25">
      <c r="A102" s="1">
        <v>95</v>
      </c>
      <c r="B102" s="60" t="s">
        <v>197</v>
      </c>
      <c r="C102" s="10" t="str">
        <f>"N410/2017DT"</f>
        <v>N410/2017DT</v>
      </c>
      <c r="D102" s="56">
        <v>43005</v>
      </c>
      <c r="E102" s="56">
        <v>43038</v>
      </c>
      <c r="F102" s="8">
        <v>3894</v>
      </c>
      <c r="G102" s="8">
        <v>4867.5</v>
      </c>
      <c r="H102" s="56">
        <v>43038</v>
      </c>
      <c r="I102" s="24">
        <v>4980</v>
      </c>
      <c r="J102" s="77"/>
    </row>
    <row r="103" spans="1:10" ht="36" x14ac:dyDescent="0.25">
      <c r="A103" s="1">
        <v>96</v>
      </c>
      <c r="B103" s="60" t="s">
        <v>208</v>
      </c>
      <c r="C103" s="10" t="str">
        <f>"NAR 282/2017"</f>
        <v>NAR 282/2017</v>
      </c>
      <c r="D103" s="56">
        <v>43004</v>
      </c>
      <c r="E103" s="56">
        <v>43039</v>
      </c>
      <c r="F103" s="8">
        <v>51468</v>
      </c>
      <c r="G103" s="8">
        <v>64335</v>
      </c>
      <c r="H103" s="56">
        <v>43039</v>
      </c>
      <c r="I103" s="24">
        <v>64335</v>
      </c>
      <c r="J103" s="77"/>
    </row>
    <row r="104" spans="1:10" ht="24" x14ac:dyDescent="0.25">
      <c r="A104" s="1">
        <v>97</v>
      </c>
      <c r="B104" s="60" t="s">
        <v>197</v>
      </c>
      <c r="C104" s="10" t="str">
        <f>"N404/2017DT"</f>
        <v>N404/2017DT</v>
      </c>
      <c r="D104" s="56">
        <v>43000</v>
      </c>
      <c r="E104" s="56">
        <v>43018</v>
      </c>
      <c r="F104" s="8">
        <v>4034</v>
      </c>
      <c r="G104" s="8">
        <v>5042.5</v>
      </c>
      <c r="H104" s="56">
        <v>43018</v>
      </c>
      <c r="I104" s="24">
        <v>5042.5</v>
      </c>
      <c r="J104" s="77"/>
    </row>
    <row r="105" spans="1:10" ht="24" x14ac:dyDescent="0.25">
      <c r="A105" s="1">
        <v>98</v>
      </c>
      <c r="B105" s="60" t="s">
        <v>197</v>
      </c>
      <c r="C105" s="10" t="str">
        <f>"N386/2017DT"</f>
        <v>N386/2017DT</v>
      </c>
      <c r="D105" s="56">
        <v>42990</v>
      </c>
      <c r="E105" s="56">
        <v>43029</v>
      </c>
      <c r="F105" s="8">
        <v>2638</v>
      </c>
      <c r="G105" s="8">
        <v>3297.5</v>
      </c>
      <c r="H105" s="56">
        <v>43029</v>
      </c>
      <c r="I105" s="24">
        <v>3297.5</v>
      </c>
      <c r="J105" s="77"/>
    </row>
    <row r="106" spans="1:10" ht="24" x14ac:dyDescent="0.25">
      <c r="A106" s="1">
        <v>99</v>
      </c>
      <c r="B106" s="60" t="s">
        <v>197</v>
      </c>
      <c r="C106" s="10" t="str">
        <f>"N387/2017DT"</f>
        <v>N387/2017DT</v>
      </c>
      <c r="D106" s="56">
        <v>42990</v>
      </c>
      <c r="E106" s="56">
        <v>43025</v>
      </c>
      <c r="F106" s="8">
        <v>4230</v>
      </c>
      <c r="G106" s="8">
        <v>5287.5</v>
      </c>
      <c r="H106" s="56">
        <v>43025</v>
      </c>
      <c r="I106" s="24">
        <v>5287.5</v>
      </c>
      <c r="J106" s="77"/>
    </row>
    <row r="107" spans="1:10" ht="24" x14ac:dyDescent="0.25">
      <c r="A107" s="1">
        <v>100</v>
      </c>
      <c r="B107" s="60" t="s">
        <v>190</v>
      </c>
      <c r="C107" s="10" t="str">
        <f>"362/2017"</f>
        <v>362/2017</v>
      </c>
      <c r="D107" s="56">
        <v>42985</v>
      </c>
      <c r="E107" s="56">
        <v>42999</v>
      </c>
      <c r="F107" s="8">
        <v>3594</v>
      </c>
      <c r="G107" s="8">
        <v>4492.5</v>
      </c>
      <c r="H107" s="56">
        <v>43008</v>
      </c>
      <c r="I107" s="24">
        <v>4492.5</v>
      </c>
      <c r="J107" s="77"/>
    </row>
    <row r="108" spans="1:10" ht="24" x14ac:dyDescent="0.25">
      <c r="A108" s="1">
        <v>101</v>
      </c>
      <c r="B108" s="60" t="s">
        <v>197</v>
      </c>
      <c r="C108" s="10" t="str">
        <f>"N338/2017DT"</f>
        <v>N338/2017DT</v>
      </c>
      <c r="D108" s="56">
        <v>42961</v>
      </c>
      <c r="E108" s="56">
        <v>42969</v>
      </c>
      <c r="F108" s="8">
        <v>2976</v>
      </c>
      <c r="G108" s="8">
        <v>3720</v>
      </c>
      <c r="H108" s="56">
        <v>42969</v>
      </c>
      <c r="I108" s="24">
        <v>3720</v>
      </c>
      <c r="J108" s="77"/>
    </row>
    <row r="109" spans="1:10" ht="24" x14ac:dyDescent="0.25">
      <c r="A109" s="1">
        <v>102</v>
      </c>
      <c r="B109" s="60" t="s">
        <v>197</v>
      </c>
      <c r="C109" s="10" t="str">
        <f>"N339/2017DT"</f>
        <v>N339/2017DT</v>
      </c>
      <c r="D109" s="56">
        <v>42961</v>
      </c>
      <c r="E109" s="56">
        <v>43013</v>
      </c>
      <c r="F109" s="8">
        <v>16288</v>
      </c>
      <c r="G109" s="8">
        <v>20360</v>
      </c>
      <c r="H109" s="56">
        <v>43013</v>
      </c>
      <c r="I109" s="24">
        <v>20360</v>
      </c>
      <c r="J109" s="77"/>
    </row>
    <row r="110" spans="1:10" ht="24" x14ac:dyDescent="0.25">
      <c r="A110" s="1">
        <v>103</v>
      </c>
      <c r="B110" s="60" t="s">
        <v>203</v>
      </c>
      <c r="C110" s="10" t="str">
        <f>"NARUDŽBENICA 721/2017."</f>
        <v>NARUDŽBENICA 721/2017.</v>
      </c>
      <c r="D110" s="56">
        <v>42948</v>
      </c>
      <c r="E110" s="56">
        <v>42948</v>
      </c>
      <c r="F110" s="8">
        <v>950</v>
      </c>
      <c r="G110" s="8">
        <v>1187.5</v>
      </c>
      <c r="H110" s="56">
        <v>43008</v>
      </c>
      <c r="I110" s="24">
        <v>1187.5</v>
      </c>
      <c r="J110" s="77"/>
    </row>
    <row r="111" spans="1:10" ht="36" x14ac:dyDescent="0.25">
      <c r="A111" s="1">
        <v>104</v>
      </c>
      <c r="B111" s="60" t="s">
        <v>189</v>
      </c>
      <c r="C111" s="10" t="str">
        <f>"480/2017"</f>
        <v>480/2017</v>
      </c>
      <c r="D111" s="56">
        <v>42940</v>
      </c>
      <c r="E111" s="56">
        <v>42971</v>
      </c>
      <c r="F111" s="8">
        <v>3454</v>
      </c>
      <c r="G111" s="8">
        <v>4317.5</v>
      </c>
      <c r="H111" s="56">
        <v>43008</v>
      </c>
      <c r="I111" s="24">
        <v>4317.5</v>
      </c>
      <c r="J111" s="77"/>
    </row>
    <row r="112" spans="1:10" ht="24" x14ac:dyDescent="0.25">
      <c r="A112" s="1">
        <v>105</v>
      </c>
      <c r="B112" s="60" t="s">
        <v>196</v>
      </c>
      <c r="C112" s="10" t="str">
        <f>"MGPU 13/2013-1_2"</f>
        <v>MGPU 13/2013-1_2</v>
      </c>
      <c r="D112" s="56">
        <v>42919</v>
      </c>
      <c r="E112" s="56">
        <v>43100</v>
      </c>
      <c r="F112" s="8">
        <v>51756</v>
      </c>
      <c r="G112" s="8">
        <v>64695</v>
      </c>
      <c r="H112" s="56">
        <v>43100</v>
      </c>
      <c r="I112" s="24">
        <v>24145.625</v>
      </c>
      <c r="J112" s="77"/>
    </row>
    <row r="113" spans="1:10" ht="24" x14ac:dyDescent="0.25">
      <c r="A113" s="1">
        <v>106</v>
      </c>
      <c r="B113" s="60" t="s">
        <v>186</v>
      </c>
      <c r="C113" s="10" t="str">
        <f>"406-01/14-01/0130"</f>
        <v>406-01/14-01/0130</v>
      </c>
      <c r="D113" s="56">
        <v>42902</v>
      </c>
      <c r="E113" s="56">
        <v>43266</v>
      </c>
      <c r="F113" s="8">
        <v>19804</v>
      </c>
      <c r="G113" s="8">
        <v>24755</v>
      </c>
      <c r="H113" s="56">
        <v>43008</v>
      </c>
      <c r="I113" s="24">
        <v>0</v>
      </c>
      <c r="J113" s="77"/>
    </row>
    <row r="114" spans="1:10" ht="24" x14ac:dyDescent="0.25">
      <c r="A114" s="1">
        <v>107</v>
      </c>
      <c r="B114" s="60" t="s">
        <v>18</v>
      </c>
      <c r="C114" s="10" t="str">
        <f>"SNUG-201-17-0352"</f>
        <v>SNUG-201-17-0352</v>
      </c>
      <c r="D114" s="56">
        <v>42878</v>
      </c>
      <c r="E114" s="56">
        <v>43100</v>
      </c>
      <c r="F114" s="8">
        <v>819370.43</v>
      </c>
      <c r="G114" s="8">
        <v>1024213.04</v>
      </c>
      <c r="H114" s="56">
        <v>43100</v>
      </c>
      <c r="I114" s="24">
        <v>758973.20000000007</v>
      </c>
      <c r="J114" s="77"/>
    </row>
    <row r="115" spans="1:10" ht="24" x14ac:dyDescent="0.25">
      <c r="A115" s="1">
        <v>108</v>
      </c>
      <c r="B115" s="60" t="s">
        <v>197</v>
      </c>
      <c r="C115" s="10" t="str">
        <f>"N220/2017DT"</f>
        <v>N220/2017DT</v>
      </c>
      <c r="D115" s="56">
        <v>42863</v>
      </c>
      <c r="E115" s="56">
        <v>42916</v>
      </c>
      <c r="F115" s="8">
        <v>3870</v>
      </c>
      <c r="G115" s="8">
        <v>4837.5</v>
      </c>
      <c r="H115" s="56">
        <v>42916</v>
      </c>
      <c r="I115" s="24">
        <v>4837.5</v>
      </c>
      <c r="J115" s="77"/>
    </row>
    <row r="116" spans="1:10" ht="24" x14ac:dyDescent="0.25">
      <c r="A116" s="1">
        <v>109</v>
      </c>
      <c r="B116" s="60" t="s">
        <v>190</v>
      </c>
      <c r="C116" s="10" t="str">
        <f>"164/2017/R"</f>
        <v>164/2017/R</v>
      </c>
      <c r="D116" s="56">
        <v>42858</v>
      </c>
      <c r="E116" s="56">
        <v>42872</v>
      </c>
      <c r="F116" s="8">
        <v>1900</v>
      </c>
      <c r="G116" s="8">
        <v>2375</v>
      </c>
      <c r="H116" s="56">
        <v>42872</v>
      </c>
      <c r="I116" s="24">
        <v>2375</v>
      </c>
      <c r="J116" s="77"/>
    </row>
    <row r="117" spans="1:10" ht="24" x14ac:dyDescent="0.25">
      <c r="A117" s="1">
        <v>110</v>
      </c>
      <c r="B117" s="60" t="s">
        <v>197</v>
      </c>
      <c r="C117" s="10" t="str">
        <f>"N189/2017DT"</f>
        <v>N189/2017DT</v>
      </c>
      <c r="D117" s="56">
        <v>42853</v>
      </c>
      <c r="E117" s="56">
        <v>42916</v>
      </c>
      <c r="F117" s="8">
        <v>2094</v>
      </c>
      <c r="G117" s="8">
        <v>2617.5</v>
      </c>
      <c r="H117" s="56">
        <v>42916</v>
      </c>
      <c r="I117" s="24">
        <v>2617.5</v>
      </c>
      <c r="J117" s="77"/>
    </row>
    <row r="118" spans="1:10" ht="24" x14ac:dyDescent="0.25">
      <c r="A118" s="1">
        <v>111</v>
      </c>
      <c r="B118" s="60" t="s">
        <v>194</v>
      </c>
      <c r="C118" s="10" t="str">
        <f>"230/17"</f>
        <v>230/17</v>
      </c>
      <c r="D118" s="56">
        <v>42851</v>
      </c>
      <c r="E118" s="56">
        <v>42851</v>
      </c>
      <c r="F118" s="8">
        <v>500</v>
      </c>
      <c r="G118" s="8">
        <v>625</v>
      </c>
      <c r="H118" s="56">
        <v>42916</v>
      </c>
      <c r="I118" s="24">
        <v>625</v>
      </c>
      <c r="J118" s="77"/>
    </row>
    <row r="119" spans="1:10" ht="24" x14ac:dyDescent="0.25">
      <c r="A119" s="1">
        <v>112</v>
      </c>
      <c r="B119" s="60" t="s">
        <v>205</v>
      </c>
      <c r="C119" s="10" t="str">
        <f>"MRMS-G1-2017"</f>
        <v>MRMS-G1-2017</v>
      </c>
      <c r="D119" s="56">
        <v>42850</v>
      </c>
      <c r="E119" s="56">
        <v>43100</v>
      </c>
      <c r="F119" s="8">
        <v>14000</v>
      </c>
      <c r="G119" s="8">
        <v>17500</v>
      </c>
      <c r="H119" s="56">
        <v>42916</v>
      </c>
      <c r="I119" s="24">
        <v>8785</v>
      </c>
      <c r="J119" s="77"/>
    </row>
    <row r="120" spans="1:10" ht="24" x14ac:dyDescent="0.25">
      <c r="A120" s="1">
        <v>113</v>
      </c>
      <c r="B120" s="60" t="s">
        <v>194</v>
      </c>
      <c r="C120" s="10" t="str">
        <f>"217/17"</f>
        <v>217/17</v>
      </c>
      <c r="D120" s="56">
        <v>42850</v>
      </c>
      <c r="E120" s="56">
        <v>42850</v>
      </c>
      <c r="F120" s="8">
        <v>3930</v>
      </c>
      <c r="G120" s="8">
        <v>4912.5</v>
      </c>
      <c r="H120" s="56">
        <v>42850</v>
      </c>
      <c r="I120" s="24">
        <v>4912.5</v>
      </c>
      <c r="J120" s="77"/>
    </row>
    <row r="121" spans="1:10" ht="24" x14ac:dyDescent="0.25">
      <c r="A121" s="1">
        <v>114</v>
      </c>
      <c r="B121" s="60" t="s">
        <v>196</v>
      </c>
      <c r="C121" s="10" t="str">
        <f>"MGPU- NAR- 197-318"</f>
        <v>MGPU- NAR- 197-318</v>
      </c>
      <c r="D121" s="56">
        <v>42845</v>
      </c>
      <c r="E121" s="56">
        <v>42919</v>
      </c>
      <c r="F121" s="8">
        <v>13103.5</v>
      </c>
      <c r="G121" s="8">
        <v>16379.38</v>
      </c>
      <c r="H121" s="56">
        <v>42919</v>
      </c>
      <c r="I121" s="24">
        <v>16379.375</v>
      </c>
      <c r="J121" s="77"/>
    </row>
    <row r="122" spans="1:10" x14ac:dyDescent="0.25">
      <c r="A122" s="1">
        <v>115</v>
      </c>
      <c r="B122" s="60" t="s">
        <v>198</v>
      </c>
      <c r="C122" s="10" t="str">
        <f>"P/15000511"</f>
        <v>P/15000511</v>
      </c>
      <c r="D122" s="56">
        <v>42838</v>
      </c>
      <c r="E122" s="56">
        <v>43205</v>
      </c>
      <c r="F122" s="8">
        <v>94330</v>
      </c>
      <c r="G122" s="8">
        <v>117912.5</v>
      </c>
      <c r="H122" s="56">
        <v>43100</v>
      </c>
      <c r="I122" s="24">
        <v>29401.25</v>
      </c>
      <c r="J122" s="77"/>
    </row>
    <row r="123" spans="1:10" ht="36" x14ac:dyDescent="0.25">
      <c r="A123" s="1">
        <v>116</v>
      </c>
      <c r="B123" s="60" t="s">
        <v>97</v>
      </c>
      <c r="C123" s="10" t="str">
        <f>"519-02-3-1/6-17-19 GUME"</f>
        <v>519-02-3-1/6-17-19 GUME</v>
      </c>
      <c r="D123" s="56">
        <v>42837</v>
      </c>
      <c r="E123" s="56">
        <v>42839</v>
      </c>
      <c r="F123" s="8">
        <v>3970</v>
      </c>
      <c r="G123" s="8">
        <v>4962.5</v>
      </c>
      <c r="H123" s="56">
        <v>43038</v>
      </c>
      <c r="I123" s="24">
        <v>8360</v>
      </c>
      <c r="J123" s="77"/>
    </row>
    <row r="124" spans="1:10" ht="36" x14ac:dyDescent="0.25">
      <c r="A124" s="1">
        <v>117</v>
      </c>
      <c r="B124" s="60" t="s">
        <v>97</v>
      </c>
      <c r="C124" s="10" t="str">
        <f>"519-02-3-1/6-17-18"</f>
        <v>519-02-3-1/6-17-18</v>
      </c>
      <c r="D124" s="56">
        <v>42837</v>
      </c>
      <c r="E124" s="56">
        <v>42843</v>
      </c>
      <c r="F124" s="8">
        <v>500</v>
      </c>
      <c r="G124" s="8">
        <v>625</v>
      </c>
      <c r="H124" s="56">
        <v>42843</v>
      </c>
      <c r="I124" s="24">
        <v>625</v>
      </c>
      <c r="J124" s="77"/>
    </row>
    <row r="125" spans="1:10" ht="24" x14ac:dyDescent="0.25">
      <c r="A125" s="1">
        <v>118</v>
      </c>
      <c r="B125" s="60" t="s">
        <v>197</v>
      </c>
      <c r="C125" s="10" t="str">
        <f>"N147/2017DT"</f>
        <v>N147/2017DT</v>
      </c>
      <c r="D125" s="56">
        <v>42838</v>
      </c>
      <c r="E125" s="56">
        <v>42916</v>
      </c>
      <c r="F125" s="8">
        <v>2650</v>
      </c>
      <c r="G125" s="8">
        <v>3312.5</v>
      </c>
      <c r="H125" s="56">
        <v>42916</v>
      </c>
      <c r="I125" s="24">
        <v>3312.5</v>
      </c>
      <c r="J125" s="77"/>
    </row>
    <row r="126" spans="1:10" ht="36" x14ac:dyDescent="0.25">
      <c r="A126" s="1">
        <v>119</v>
      </c>
      <c r="B126" s="60" t="s">
        <v>97</v>
      </c>
      <c r="C126" s="10" t="str">
        <f>"519-02/3-1/6-17-19"</f>
        <v>519-02/3-1/6-17-19</v>
      </c>
      <c r="D126" s="56">
        <v>42837</v>
      </c>
      <c r="E126" s="56">
        <v>42843</v>
      </c>
      <c r="F126" s="8">
        <v>4030</v>
      </c>
      <c r="G126" s="8">
        <v>5037.5</v>
      </c>
      <c r="H126" s="56">
        <v>42843</v>
      </c>
      <c r="I126" s="24">
        <v>5037.5</v>
      </c>
      <c r="J126" s="77"/>
    </row>
    <row r="127" spans="1:10" x14ac:dyDescent="0.25">
      <c r="A127" s="1">
        <v>120</v>
      </c>
      <c r="B127" s="60" t="s">
        <v>16</v>
      </c>
      <c r="C127" s="10" t="str">
        <f>"85/2017"</f>
        <v>85/2017</v>
      </c>
      <c r="D127" s="56">
        <v>41837</v>
      </c>
      <c r="E127" s="56">
        <v>43298</v>
      </c>
      <c r="F127" s="8">
        <v>5952</v>
      </c>
      <c r="G127" s="8">
        <v>7440</v>
      </c>
      <c r="H127" s="56">
        <v>43100</v>
      </c>
      <c r="I127" s="24">
        <v>7440</v>
      </c>
      <c r="J127" s="77"/>
    </row>
    <row r="128" spans="1:10" ht="24" x14ac:dyDescent="0.25">
      <c r="A128" s="1">
        <v>121</v>
      </c>
      <c r="B128" s="60" t="s">
        <v>197</v>
      </c>
      <c r="C128" s="10" t="str">
        <f>"N137/2017DT"</f>
        <v>N137/2017DT</v>
      </c>
      <c r="D128" s="56">
        <v>42832</v>
      </c>
      <c r="E128" s="56">
        <v>42881</v>
      </c>
      <c r="F128" s="8">
        <v>3870</v>
      </c>
      <c r="G128" s="8">
        <v>4837.5</v>
      </c>
      <c r="H128" s="56">
        <v>42881</v>
      </c>
      <c r="I128" s="24">
        <v>4837.5</v>
      </c>
      <c r="J128" s="77"/>
    </row>
    <row r="129" spans="1:10" ht="24" x14ac:dyDescent="0.25">
      <c r="A129" s="1">
        <v>122</v>
      </c>
      <c r="B129" s="60" t="s">
        <v>197</v>
      </c>
      <c r="C129" s="10" t="str">
        <f>"N135/2017DT"</f>
        <v>N135/2017DT</v>
      </c>
      <c r="D129" s="56">
        <v>42832</v>
      </c>
      <c r="E129" s="56">
        <v>42882</v>
      </c>
      <c r="F129" s="8">
        <v>3870</v>
      </c>
      <c r="G129" s="8">
        <v>4837.5</v>
      </c>
      <c r="H129" s="56">
        <v>42882</v>
      </c>
      <c r="I129" s="24">
        <v>4837.5</v>
      </c>
      <c r="J129" s="77"/>
    </row>
    <row r="130" spans="1:10" ht="24" x14ac:dyDescent="0.25">
      <c r="A130" s="1">
        <v>123</v>
      </c>
      <c r="B130" s="60" t="s">
        <v>197</v>
      </c>
      <c r="C130" s="10" t="str">
        <f>"N136/2017DT"</f>
        <v>N136/2017DT</v>
      </c>
      <c r="D130" s="56">
        <v>42832</v>
      </c>
      <c r="E130" s="56">
        <v>42905</v>
      </c>
      <c r="F130" s="8">
        <v>3870</v>
      </c>
      <c r="G130" s="8">
        <v>4837.5</v>
      </c>
      <c r="H130" s="56">
        <v>42905</v>
      </c>
      <c r="I130" s="24">
        <v>4837.5</v>
      </c>
      <c r="J130" s="77"/>
    </row>
    <row r="131" spans="1:10" x14ac:dyDescent="0.25">
      <c r="A131" s="1">
        <v>124</v>
      </c>
      <c r="B131" s="60" t="s">
        <v>278</v>
      </c>
      <c r="C131" s="10" t="str">
        <f>"69/2017"</f>
        <v>69/2017</v>
      </c>
      <c r="D131" s="56">
        <v>42831</v>
      </c>
      <c r="E131" s="56">
        <v>43039</v>
      </c>
      <c r="F131" s="8">
        <v>7590</v>
      </c>
      <c r="G131" s="8">
        <v>9487.5</v>
      </c>
      <c r="H131" s="56">
        <v>43039</v>
      </c>
      <c r="I131" s="24">
        <v>8100</v>
      </c>
      <c r="J131" s="77"/>
    </row>
    <row r="132" spans="1:10" ht="24" x14ac:dyDescent="0.25">
      <c r="A132" s="1">
        <v>125</v>
      </c>
      <c r="B132" s="60" t="s">
        <v>197</v>
      </c>
      <c r="C132" s="10" t="str">
        <f>"N129/2017DT"</f>
        <v>N129/2017DT</v>
      </c>
      <c r="D132" s="56">
        <v>42829</v>
      </c>
      <c r="E132" s="56">
        <v>42879</v>
      </c>
      <c r="F132" s="8">
        <v>3870</v>
      </c>
      <c r="G132" s="8">
        <v>4837.5</v>
      </c>
      <c r="H132" s="56">
        <v>42879</v>
      </c>
      <c r="I132" s="24">
        <v>4837.5</v>
      </c>
      <c r="J132" s="77"/>
    </row>
    <row r="133" spans="1:10" ht="24" x14ac:dyDescent="0.25">
      <c r="A133" s="1">
        <v>126</v>
      </c>
      <c r="B133" s="60" t="s">
        <v>17</v>
      </c>
      <c r="C133" s="10" t="str">
        <f>"NAR  BR 486/2016"</f>
        <v>NAR  BR 486/2016</v>
      </c>
      <c r="D133" s="56">
        <v>42829</v>
      </c>
      <c r="E133" s="56">
        <v>42829</v>
      </c>
      <c r="F133" s="8">
        <v>1900</v>
      </c>
      <c r="G133" s="8">
        <v>2375</v>
      </c>
      <c r="H133" s="56">
        <v>42829</v>
      </c>
      <c r="I133" s="24">
        <v>2375</v>
      </c>
      <c r="J133" s="77"/>
    </row>
    <row r="134" spans="1:10" ht="36" x14ac:dyDescent="0.25">
      <c r="A134" s="1">
        <v>127</v>
      </c>
      <c r="B134" s="60" t="s">
        <v>203</v>
      </c>
      <c r="C134" s="10" t="str">
        <f>"N-337,493,494/201."</f>
        <v>N-337,493,494/201.</v>
      </c>
      <c r="D134" s="56">
        <v>42829</v>
      </c>
      <c r="E134" s="56">
        <v>42880</v>
      </c>
      <c r="F134" s="8">
        <v>29340</v>
      </c>
      <c r="G134" s="8">
        <v>36675</v>
      </c>
      <c r="H134" s="56">
        <v>42916</v>
      </c>
      <c r="I134" s="24">
        <v>36675</v>
      </c>
      <c r="J134" s="77"/>
    </row>
    <row r="135" spans="1:10" ht="24" x14ac:dyDescent="0.25">
      <c r="A135" s="1">
        <v>128</v>
      </c>
      <c r="B135" s="60" t="s">
        <v>197</v>
      </c>
      <c r="C135" s="10" t="str">
        <f>"N127/2017DT"</f>
        <v>N127/2017DT</v>
      </c>
      <c r="D135" s="56">
        <v>42828</v>
      </c>
      <c r="E135" s="56">
        <v>42881</v>
      </c>
      <c r="F135" s="8">
        <v>3870</v>
      </c>
      <c r="G135" s="8">
        <v>4837.5</v>
      </c>
      <c r="H135" s="56">
        <v>42881</v>
      </c>
      <c r="I135" s="24">
        <v>4837.5</v>
      </c>
      <c r="J135" s="77"/>
    </row>
    <row r="136" spans="1:10" ht="36" x14ac:dyDescent="0.25">
      <c r="A136" s="1">
        <v>129</v>
      </c>
      <c r="B136" s="60" t="s">
        <v>192</v>
      </c>
      <c r="C136" s="10" t="str">
        <f>"N233,234,236,246/2017"</f>
        <v>N233,234,236,246/2017</v>
      </c>
      <c r="D136" s="56">
        <v>42826</v>
      </c>
      <c r="E136" s="56">
        <v>42916</v>
      </c>
      <c r="F136" s="8">
        <v>780</v>
      </c>
      <c r="G136" s="8">
        <v>975</v>
      </c>
      <c r="H136" s="56">
        <v>42916</v>
      </c>
      <c r="I136" s="24">
        <v>975</v>
      </c>
      <c r="J136" s="77"/>
    </row>
    <row r="137" spans="1:10" ht="36" x14ac:dyDescent="0.25">
      <c r="A137" s="1">
        <v>130</v>
      </c>
      <c r="B137" s="60" t="s">
        <v>192</v>
      </c>
      <c r="C137" s="10" t="str">
        <f>"N223,229,230,232,228/2017"</f>
        <v>N223,229,230,232,228/2017</v>
      </c>
      <c r="D137" s="56">
        <v>42826</v>
      </c>
      <c r="E137" s="56">
        <v>42916</v>
      </c>
      <c r="F137" s="8">
        <v>4454</v>
      </c>
      <c r="G137" s="8">
        <v>5567.5</v>
      </c>
      <c r="H137" s="56">
        <v>42916</v>
      </c>
      <c r="I137" s="24">
        <v>5567.5</v>
      </c>
      <c r="J137" s="77"/>
    </row>
    <row r="138" spans="1:10" ht="36" x14ac:dyDescent="0.25">
      <c r="A138" s="1">
        <v>131</v>
      </c>
      <c r="B138" s="60" t="s">
        <v>192</v>
      </c>
      <c r="C138" s="10" t="str">
        <f>"N222,221,224,225,226/2017"</f>
        <v>N222,221,224,225,226/2017</v>
      </c>
      <c r="D138" s="56">
        <v>42826</v>
      </c>
      <c r="E138" s="56">
        <v>42916</v>
      </c>
      <c r="F138" s="8">
        <v>2070</v>
      </c>
      <c r="G138" s="8">
        <v>2587.5</v>
      </c>
      <c r="H138" s="56">
        <v>42916</v>
      </c>
      <c r="I138" s="24">
        <v>2587.5</v>
      </c>
      <c r="J138" s="77"/>
    </row>
    <row r="139" spans="1:10" ht="24" x14ac:dyDescent="0.25">
      <c r="A139" s="1">
        <v>132</v>
      </c>
      <c r="B139" s="60" t="s">
        <v>191</v>
      </c>
      <c r="C139" s="10" t="str">
        <f>"MFIN UŽI DIO-NARUDŽ"</f>
        <v>MFIN UŽI DIO-NARUDŽ</v>
      </c>
      <c r="D139" s="56">
        <v>42826</v>
      </c>
      <c r="E139" s="56">
        <v>42916</v>
      </c>
      <c r="F139" s="8">
        <v>8874</v>
      </c>
      <c r="G139" s="8">
        <v>11092.5</v>
      </c>
      <c r="H139" s="56">
        <v>42916</v>
      </c>
      <c r="I139" s="24">
        <v>11092.5</v>
      </c>
      <c r="J139" s="77"/>
    </row>
    <row r="140" spans="1:10" ht="36" x14ac:dyDescent="0.25">
      <c r="A140" s="1">
        <v>133</v>
      </c>
      <c r="B140" s="60" t="s">
        <v>192</v>
      </c>
      <c r="C140" s="10" t="str">
        <f>"N231,245,262/2017"</f>
        <v>N231,245,262/2017</v>
      </c>
      <c r="D140" s="56">
        <v>42826</v>
      </c>
      <c r="E140" s="56">
        <v>42916</v>
      </c>
      <c r="F140" s="8">
        <v>2473</v>
      </c>
      <c r="G140" s="8">
        <v>3091.25</v>
      </c>
      <c r="H140" s="56">
        <v>42916</v>
      </c>
      <c r="I140" s="24">
        <v>3091.25</v>
      </c>
      <c r="J140" s="77"/>
    </row>
    <row r="141" spans="1:10" ht="36" x14ac:dyDescent="0.25">
      <c r="A141" s="1">
        <v>134</v>
      </c>
      <c r="B141" s="60" t="s">
        <v>189</v>
      </c>
      <c r="C141" s="10" t="str">
        <f>"196/2017"</f>
        <v>196/2017</v>
      </c>
      <c r="D141" s="56">
        <v>42825</v>
      </c>
      <c r="E141" s="56">
        <v>42855</v>
      </c>
      <c r="F141" s="8">
        <v>4512</v>
      </c>
      <c r="G141" s="8">
        <v>5640</v>
      </c>
      <c r="H141" s="56">
        <v>42916</v>
      </c>
      <c r="I141" s="24">
        <v>5565</v>
      </c>
      <c r="J141" s="77"/>
    </row>
    <row r="142" spans="1:10" x14ac:dyDescent="0.25">
      <c r="A142" s="1">
        <v>135</v>
      </c>
      <c r="B142" s="60" t="s">
        <v>204</v>
      </c>
      <c r="C142" s="10" t="str">
        <f>"17R0000235"</f>
        <v>17R0000235</v>
      </c>
      <c r="D142" s="56">
        <v>42825</v>
      </c>
      <c r="E142" s="56">
        <v>42855</v>
      </c>
      <c r="F142" s="8">
        <v>1250</v>
      </c>
      <c r="G142" s="8">
        <v>1562.5</v>
      </c>
      <c r="H142" s="56">
        <v>42855</v>
      </c>
      <c r="I142" s="24">
        <v>1525</v>
      </c>
      <c r="J142" s="77"/>
    </row>
    <row r="143" spans="1:10" ht="24" x14ac:dyDescent="0.25">
      <c r="A143" s="1">
        <v>136</v>
      </c>
      <c r="B143" s="60" t="s">
        <v>197</v>
      </c>
      <c r="C143" s="10" t="str">
        <f>"N115/2017DT"</f>
        <v>N115/2017DT</v>
      </c>
      <c r="D143" s="56">
        <v>42824</v>
      </c>
      <c r="E143" s="56">
        <v>42866</v>
      </c>
      <c r="F143" s="8">
        <v>11944</v>
      </c>
      <c r="G143" s="8">
        <v>14930</v>
      </c>
      <c r="H143" s="56">
        <v>42866</v>
      </c>
      <c r="I143" s="24">
        <v>14930</v>
      </c>
      <c r="J143" s="77"/>
    </row>
    <row r="144" spans="1:10" ht="24" x14ac:dyDescent="0.25">
      <c r="A144" s="1">
        <v>137</v>
      </c>
      <c r="B144" s="60" t="s">
        <v>197</v>
      </c>
      <c r="C144" s="10" t="str">
        <f>"N119/2017DT"</f>
        <v>N119/2017DT</v>
      </c>
      <c r="D144" s="56">
        <v>42824</v>
      </c>
      <c r="E144" s="56">
        <v>42874</v>
      </c>
      <c r="F144" s="8">
        <v>3870</v>
      </c>
      <c r="G144" s="8">
        <v>4837.5</v>
      </c>
      <c r="H144" s="56">
        <v>42874</v>
      </c>
      <c r="I144" s="24">
        <v>4837.5</v>
      </c>
      <c r="J144" s="77"/>
    </row>
    <row r="145" spans="1:11" ht="24" x14ac:dyDescent="0.25">
      <c r="A145" s="1">
        <v>138</v>
      </c>
      <c r="B145" s="60" t="s">
        <v>197</v>
      </c>
      <c r="C145" s="10" t="str">
        <f>"N116/2017DT"</f>
        <v>N116/2017DT</v>
      </c>
      <c r="D145" s="56">
        <v>42824</v>
      </c>
      <c r="E145" s="56">
        <v>42905</v>
      </c>
      <c r="F145" s="8">
        <v>3332</v>
      </c>
      <c r="G145" s="8">
        <v>4165</v>
      </c>
      <c r="H145" s="56">
        <v>42905</v>
      </c>
      <c r="I145" s="24">
        <v>4165</v>
      </c>
      <c r="J145" s="77"/>
    </row>
    <row r="146" spans="1:11" ht="24" x14ac:dyDescent="0.25">
      <c r="A146" s="1">
        <v>139</v>
      </c>
      <c r="B146" s="60" t="s">
        <v>197</v>
      </c>
      <c r="C146" s="10" t="str">
        <f>"N117/2017DT"</f>
        <v>N117/2017DT</v>
      </c>
      <c r="D146" s="56">
        <v>42824</v>
      </c>
      <c r="E146" s="56">
        <v>42874</v>
      </c>
      <c r="F146" s="8">
        <v>3870</v>
      </c>
      <c r="G146" s="8">
        <v>4837.5</v>
      </c>
      <c r="H146" s="56">
        <v>42874</v>
      </c>
      <c r="I146" s="24">
        <v>4837.5</v>
      </c>
      <c r="J146" s="77"/>
    </row>
    <row r="147" spans="1:11" ht="24" x14ac:dyDescent="0.25">
      <c r="A147" s="1">
        <v>140</v>
      </c>
      <c r="B147" s="60" t="s">
        <v>197</v>
      </c>
      <c r="C147" s="10" t="str">
        <f>"N118/2017DT"</f>
        <v>N118/2017DT</v>
      </c>
      <c r="D147" s="56">
        <v>42824</v>
      </c>
      <c r="E147" s="56">
        <v>42881</v>
      </c>
      <c r="F147" s="8">
        <v>3870</v>
      </c>
      <c r="G147" s="8">
        <v>4837.5</v>
      </c>
      <c r="H147" s="56">
        <v>42881</v>
      </c>
      <c r="I147" s="24">
        <v>4837.5</v>
      </c>
      <c r="J147" s="77"/>
    </row>
    <row r="148" spans="1:11" ht="36" x14ac:dyDescent="0.25">
      <c r="A148" s="1">
        <v>141</v>
      </c>
      <c r="B148" s="60" t="s">
        <v>189</v>
      </c>
      <c r="C148" s="10" t="str">
        <f>"101/2017"</f>
        <v>101/2017</v>
      </c>
      <c r="D148" s="56">
        <v>42783</v>
      </c>
      <c r="E148" s="56">
        <v>42811</v>
      </c>
      <c r="F148" s="8">
        <v>47.5</v>
      </c>
      <c r="G148" s="8">
        <v>59.38</v>
      </c>
      <c r="H148" s="56">
        <v>42825</v>
      </c>
      <c r="I148" s="24">
        <v>59.375</v>
      </c>
      <c r="J148" s="77"/>
    </row>
    <row r="149" spans="1:11" ht="24" x14ac:dyDescent="0.25">
      <c r="A149" s="1">
        <v>142</v>
      </c>
      <c r="B149" s="60" t="s">
        <v>197</v>
      </c>
      <c r="C149" s="10" t="str">
        <f>"N014/2017DT"</f>
        <v>N014/2017DT</v>
      </c>
      <c r="D149" s="56">
        <v>42772</v>
      </c>
      <c r="E149" s="56">
        <v>42825</v>
      </c>
      <c r="F149" s="8">
        <v>4026</v>
      </c>
      <c r="G149" s="8">
        <v>5032.5</v>
      </c>
      <c r="H149" s="56">
        <v>42881</v>
      </c>
      <c r="I149" s="24">
        <v>5032.5</v>
      </c>
      <c r="J149" s="77"/>
    </row>
    <row r="150" spans="1:11" ht="24" x14ac:dyDescent="0.25">
      <c r="A150" s="1">
        <v>143</v>
      </c>
      <c r="B150" s="60" t="s">
        <v>187</v>
      </c>
      <c r="C150" s="10" t="str">
        <f>"13/2013-1-U3"</f>
        <v>13/2013-1-U3</v>
      </c>
      <c r="D150" s="56">
        <v>42767</v>
      </c>
      <c r="E150" s="56">
        <v>43100</v>
      </c>
      <c r="F150" s="8">
        <v>42568</v>
      </c>
      <c r="G150" s="8">
        <v>53210</v>
      </c>
      <c r="H150" s="56">
        <v>42916</v>
      </c>
      <c r="I150" s="24">
        <v>12487.5</v>
      </c>
      <c r="J150" s="77"/>
    </row>
    <row r="151" spans="1:11" ht="24" x14ac:dyDescent="0.25">
      <c r="A151" s="1">
        <v>144</v>
      </c>
      <c r="B151" s="60" t="s">
        <v>206</v>
      </c>
      <c r="C151" s="10" t="str">
        <f>"GUME GRUPA 1"</f>
        <v>GUME GRUPA 1</v>
      </c>
      <c r="D151" s="56">
        <v>42753</v>
      </c>
      <c r="E151" s="56">
        <v>43100</v>
      </c>
      <c r="F151" s="8">
        <v>9584</v>
      </c>
      <c r="G151" s="8">
        <v>11980</v>
      </c>
      <c r="H151" s="56">
        <v>43100</v>
      </c>
      <c r="I151" s="24">
        <v>11775</v>
      </c>
      <c r="J151" s="77"/>
    </row>
    <row r="152" spans="1:11" ht="24" x14ac:dyDescent="0.25">
      <c r="A152" s="1">
        <v>145</v>
      </c>
      <c r="B152" s="60" t="s">
        <v>203</v>
      </c>
      <c r="C152" s="10" t="str">
        <f>"NARUDŽBENICE G1 2017"</f>
        <v>NARUDŽBENICE G1 2017</v>
      </c>
      <c r="D152" s="56">
        <v>42744</v>
      </c>
      <c r="E152" s="56">
        <v>42776</v>
      </c>
      <c r="F152" s="8">
        <v>4441</v>
      </c>
      <c r="G152" s="8">
        <v>5551.25</v>
      </c>
      <c r="H152" s="56">
        <v>42825</v>
      </c>
      <c r="I152" s="24">
        <v>5551.25</v>
      </c>
      <c r="J152" s="77"/>
    </row>
    <row r="153" spans="1:11" ht="24" x14ac:dyDescent="0.25">
      <c r="A153" s="1">
        <v>146</v>
      </c>
      <c r="B153" s="60" t="s">
        <v>185</v>
      </c>
      <c r="C153" s="10" t="str">
        <f>"13/2013-1 UGOVOR"</f>
        <v>13/2013-1 UGOVOR</v>
      </c>
      <c r="D153" s="56">
        <v>42697</v>
      </c>
      <c r="E153" s="56">
        <v>43100</v>
      </c>
      <c r="F153" s="8">
        <v>60526</v>
      </c>
      <c r="G153" s="8">
        <v>75657.5</v>
      </c>
      <c r="H153" s="56">
        <v>43100</v>
      </c>
      <c r="I153" s="24">
        <v>31302.5</v>
      </c>
      <c r="J153" s="77"/>
    </row>
    <row r="154" spans="1:11" ht="36" x14ac:dyDescent="0.25">
      <c r="A154" s="1">
        <v>147</v>
      </c>
      <c r="B154" s="60" t="s">
        <v>192</v>
      </c>
      <c r="C154" s="10" t="str">
        <f>"N23, N72/2017"</f>
        <v>N23, N72/2017</v>
      </c>
      <c r="D154" s="56">
        <v>42736</v>
      </c>
      <c r="E154" s="56">
        <v>42825</v>
      </c>
      <c r="F154" s="8">
        <v>129.28</v>
      </c>
      <c r="G154" s="8">
        <v>161.6</v>
      </c>
      <c r="H154" s="56">
        <v>42825</v>
      </c>
      <c r="I154" s="24">
        <v>161.6</v>
      </c>
      <c r="J154" s="77"/>
    </row>
    <row r="155" spans="1:11" ht="24" x14ac:dyDescent="0.25">
      <c r="A155" s="1">
        <v>148</v>
      </c>
      <c r="B155" s="60" t="s">
        <v>18</v>
      </c>
      <c r="C155" s="10" t="str">
        <f>"NND-201-17-002"</f>
        <v>NND-201-17-002</v>
      </c>
      <c r="D155" s="56">
        <v>42736</v>
      </c>
      <c r="E155" s="56">
        <v>42825</v>
      </c>
      <c r="F155" s="8">
        <v>4530</v>
      </c>
      <c r="G155" s="8">
        <v>5662.5</v>
      </c>
      <c r="H155" s="56">
        <v>42825</v>
      </c>
      <c r="I155" s="24">
        <v>5662.5</v>
      </c>
      <c r="J155" s="77"/>
    </row>
    <row r="156" spans="1:11" ht="36" x14ac:dyDescent="0.25">
      <c r="A156" s="1">
        <v>149</v>
      </c>
      <c r="B156" s="60" t="s">
        <v>189</v>
      </c>
      <c r="C156" s="10" t="str">
        <f>"728/2016"</f>
        <v>728/2016</v>
      </c>
      <c r="D156" s="56">
        <v>42734</v>
      </c>
      <c r="E156" s="56">
        <v>42765</v>
      </c>
      <c r="F156" s="8">
        <v>3498</v>
      </c>
      <c r="G156" s="8">
        <v>4372.5</v>
      </c>
      <c r="H156" s="56">
        <v>42825</v>
      </c>
      <c r="I156" s="24">
        <v>4372.5</v>
      </c>
      <c r="J156" s="77"/>
    </row>
    <row r="157" spans="1:11" ht="24" x14ac:dyDescent="0.25">
      <c r="A157" s="1">
        <v>150</v>
      </c>
      <c r="B157" s="60" t="s">
        <v>193</v>
      </c>
      <c r="C157" s="10" t="str">
        <f>"64-61-14-1-4"</f>
        <v>64-61-14-1-4</v>
      </c>
      <c r="D157" s="56">
        <v>42667</v>
      </c>
      <c r="E157" s="56">
        <v>43032</v>
      </c>
      <c r="F157" s="8">
        <v>78124</v>
      </c>
      <c r="G157" s="8">
        <v>97655</v>
      </c>
      <c r="H157" s="56">
        <v>43100</v>
      </c>
      <c r="I157" s="24">
        <v>63330</v>
      </c>
      <c r="J157" s="77"/>
      <c r="K157" s="48"/>
    </row>
    <row r="158" spans="1:11" x14ac:dyDescent="0.25">
      <c r="A158" s="1">
        <v>151</v>
      </c>
      <c r="B158" s="60" t="s">
        <v>278</v>
      </c>
      <c r="C158" s="10" t="str">
        <f>"124/2016."</f>
        <v>124/2016.</v>
      </c>
      <c r="D158" s="56">
        <v>42667</v>
      </c>
      <c r="E158" s="56">
        <v>42840</v>
      </c>
      <c r="F158" s="8">
        <v>5590</v>
      </c>
      <c r="G158" s="8">
        <v>6987.5</v>
      </c>
      <c r="H158" s="56">
        <v>42840</v>
      </c>
      <c r="I158" s="24">
        <v>0</v>
      </c>
      <c r="J158" s="77"/>
    </row>
    <row r="159" spans="1:11" x14ac:dyDescent="0.25">
      <c r="A159" s="1">
        <v>152</v>
      </c>
      <c r="B159" s="60" t="s">
        <v>212</v>
      </c>
      <c r="C159" s="10" t="str">
        <f>"13/2013 1"</f>
        <v>13/2013 1</v>
      </c>
      <c r="D159" s="56">
        <v>42555</v>
      </c>
      <c r="E159" s="56">
        <v>42736</v>
      </c>
      <c r="F159" s="8">
        <v>1371</v>
      </c>
      <c r="G159" s="8">
        <v>1713.75</v>
      </c>
      <c r="H159" s="59"/>
      <c r="I159" s="24">
        <v>0</v>
      </c>
      <c r="J159" s="77"/>
    </row>
    <row r="160" spans="1:11" x14ac:dyDescent="0.25">
      <c r="A160" s="1">
        <v>153</v>
      </c>
      <c r="B160" s="60" t="s">
        <v>210</v>
      </c>
      <c r="C160" s="10" t="str">
        <f>"PU G1 2016"</f>
        <v>PU G1 2016</v>
      </c>
      <c r="D160" s="56">
        <v>42500</v>
      </c>
      <c r="E160" s="56">
        <v>42865</v>
      </c>
      <c r="F160" s="8">
        <v>29949</v>
      </c>
      <c r="G160" s="8">
        <v>37436.25</v>
      </c>
      <c r="H160" s="56">
        <v>42865</v>
      </c>
      <c r="I160" s="24">
        <v>29988.875</v>
      </c>
      <c r="J160" s="77"/>
    </row>
    <row r="161" spans="1:14" ht="24" x14ac:dyDescent="0.25">
      <c r="A161" s="1">
        <v>154</v>
      </c>
      <c r="B161" s="60" t="s">
        <v>186</v>
      </c>
      <c r="C161" s="10" t="str">
        <f>"532-02-02/4-16-16"</f>
        <v>532-02-02/4-16-16</v>
      </c>
      <c r="D161" s="56">
        <v>42473</v>
      </c>
      <c r="E161" s="56">
        <v>42837</v>
      </c>
      <c r="F161" s="8">
        <v>27644</v>
      </c>
      <c r="G161" s="8">
        <v>34555</v>
      </c>
      <c r="H161" s="56">
        <v>42837</v>
      </c>
      <c r="I161" s="24">
        <v>43030</v>
      </c>
      <c r="J161" s="77"/>
    </row>
    <row r="162" spans="1:14" x14ac:dyDescent="0.25">
      <c r="A162" s="1">
        <v>155</v>
      </c>
      <c r="B162" s="60" t="s">
        <v>198</v>
      </c>
      <c r="C162" s="10" t="str">
        <f>"P/14033309"</f>
        <v>P/14033309</v>
      </c>
      <c r="D162" s="56">
        <v>42465</v>
      </c>
      <c r="E162" s="56">
        <v>42830</v>
      </c>
      <c r="F162" s="8">
        <v>107353.5</v>
      </c>
      <c r="G162" s="8">
        <v>134191.88</v>
      </c>
      <c r="H162" s="56">
        <v>42830</v>
      </c>
      <c r="I162" s="24">
        <v>60047.25</v>
      </c>
      <c r="J162" s="77"/>
    </row>
    <row r="163" spans="1:14" ht="24" x14ac:dyDescent="0.25">
      <c r="A163" s="1">
        <v>156</v>
      </c>
      <c r="B163" s="60" t="s">
        <v>199</v>
      </c>
      <c r="C163" s="10" t="str">
        <f>"13/2013-1-MB"</f>
        <v>13/2013-1-MB</v>
      </c>
      <c r="D163" s="56">
        <v>42005</v>
      </c>
      <c r="E163" s="56">
        <v>43298</v>
      </c>
      <c r="F163" s="8">
        <v>0</v>
      </c>
      <c r="G163" s="8">
        <v>0</v>
      </c>
      <c r="H163" s="56">
        <v>43100</v>
      </c>
      <c r="I163" s="24">
        <v>136376.02500000002</v>
      </c>
      <c r="J163" s="77"/>
    </row>
    <row r="164" spans="1:14" x14ac:dyDescent="0.25">
      <c r="A164" s="1">
        <v>157</v>
      </c>
      <c r="B164" s="60" t="s">
        <v>212</v>
      </c>
      <c r="C164" s="10" t="str">
        <f>"13/2013-1"</f>
        <v>13/2013-1</v>
      </c>
      <c r="D164" s="56">
        <v>41836</v>
      </c>
      <c r="E164" s="56">
        <v>43298</v>
      </c>
      <c r="F164" s="8">
        <v>22254</v>
      </c>
      <c r="G164" s="8">
        <v>27817.5</v>
      </c>
      <c r="H164" s="56">
        <v>43100</v>
      </c>
      <c r="I164" s="24">
        <v>48737.5</v>
      </c>
      <c r="J164" s="77"/>
    </row>
    <row r="165" spans="1:14" ht="36" x14ac:dyDescent="0.25">
      <c r="A165" s="1">
        <v>158</v>
      </c>
      <c r="B165" s="60" t="s">
        <v>189</v>
      </c>
      <c r="C165" s="10" t="str">
        <f>"403/2016"</f>
        <v>403/2016</v>
      </c>
      <c r="D165" s="56">
        <v>42586</v>
      </c>
      <c r="E165" s="56">
        <v>43298</v>
      </c>
      <c r="F165" s="8">
        <v>2090</v>
      </c>
      <c r="G165" s="8">
        <v>2612.5</v>
      </c>
      <c r="H165" s="56">
        <v>43100</v>
      </c>
      <c r="I165" s="24">
        <v>2612.5</v>
      </c>
      <c r="J165" s="77"/>
      <c r="K165" s="48"/>
    </row>
    <row r="166" spans="1:14" x14ac:dyDescent="0.25">
      <c r="A166" s="1">
        <v>159</v>
      </c>
      <c r="B166" s="60" t="s">
        <v>16</v>
      </c>
      <c r="C166" s="10" t="str">
        <f>"0/2017"</f>
        <v>0/2017</v>
      </c>
      <c r="D166" s="56">
        <v>43008</v>
      </c>
      <c r="E166" s="56">
        <v>43298</v>
      </c>
      <c r="F166" s="8">
        <v>0</v>
      </c>
      <c r="G166" s="8">
        <v>0</v>
      </c>
      <c r="H166" s="56">
        <v>43100</v>
      </c>
      <c r="I166" s="24">
        <v>0</v>
      </c>
      <c r="J166" s="77"/>
    </row>
    <row r="167" spans="1:14" ht="7.5" customHeight="1" x14ac:dyDescent="0.25"/>
    <row r="168" spans="1:14" x14ac:dyDescent="0.25">
      <c r="A168" s="175" t="s">
        <v>179</v>
      </c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</row>
    <row r="169" spans="1:14" ht="36" x14ac:dyDescent="0.25">
      <c r="A169" s="53" t="s">
        <v>0</v>
      </c>
      <c r="B169" s="54" t="s">
        <v>1</v>
      </c>
      <c r="C169" s="54" t="s">
        <v>3</v>
      </c>
      <c r="D169" s="178" t="s">
        <v>171</v>
      </c>
      <c r="E169" s="178"/>
      <c r="F169" s="54" t="s">
        <v>166</v>
      </c>
      <c r="G169" s="54" t="s">
        <v>170</v>
      </c>
      <c r="H169" s="54" t="s">
        <v>167</v>
      </c>
      <c r="I169" s="54" t="s">
        <v>4</v>
      </c>
      <c r="J169" s="54" t="s">
        <v>5</v>
      </c>
      <c r="K169" s="54" t="s">
        <v>2</v>
      </c>
      <c r="L169" s="54" t="s">
        <v>172</v>
      </c>
      <c r="M169" s="54" t="s">
        <v>173</v>
      </c>
      <c r="N169" s="54" t="s">
        <v>169</v>
      </c>
    </row>
    <row r="170" spans="1:14" ht="107.25" customHeight="1" x14ac:dyDescent="0.25">
      <c r="A170" s="1">
        <v>1</v>
      </c>
      <c r="B170" s="4" t="s">
        <v>58</v>
      </c>
      <c r="C170" s="1" t="s">
        <v>32</v>
      </c>
      <c r="D170" s="179" t="s">
        <v>1054</v>
      </c>
      <c r="E170" s="180"/>
      <c r="F170" s="1" t="s">
        <v>69</v>
      </c>
      <c r="G170" s="1" t="s">
        <v>1001</v>
      </c>
      <c r="H170" s="1" t="s">
        <v>15</v>
      </c>
      <c r="I170" s="15">
        <v>41843</v>
      </c>
      <c r="J170" s="1" t="s">
        <v>59</v>
      </c>
      <c r="K170" s="8">
        <v>2644917.33</v>
      </c>
      <c r="L170" s="8">
        <f>K170*0.25</f>
        <v>661229.33250000002</v>
      </c>
      <c r="M170" s="8">
        <f>K170+L170</f>
        <v>3306146.6625000001</v>
      </c>
      <c r="N170" s="176"/>
    </row>
    <row r="171" spans="1:14" ht="15" customHeight="1" x14ac:dyDescent="0.25">
      <c r="A171" s="177" t="s">
        <v>1012</v>
      </c>
      <c r="B171" s="177"/>
      <c r="C171" s="177"/>
      <c r="D171" s="177"/>
      <c r="E171" s="177"/>
      <c r="F171" s="177"/>
      <c r="G171" s="177"/>
      <c r="H171" s="177"/>
      <c r="I171" s="177"/>
      <c r="J171" s="177"/>
      <c r="K171" s="177"/>
      <c r="L171" s="177"/>
      <c r="M171" s="8">
        <v>345567.75</v>
      </c>
      <c r="N171" s="176"/>
    </row>
    <row r="172" spans="1:14" ht="7.5" customHeight="1" x14ac:dyDescent="0.25">
      <c r="L172" s="47"/>
    </row>
    <row r="173" spans="1:14" ht="15" customHeight="1" x14ac:dyDescent="0.25">
      <c r="A173" s="175" t="s">
        <v>12</v>
      </c>
      <c r="B173" s="175"/>
      <c r="C173" s="175"/>
      <c r="D173" s="175"/>
      <c r="E173" s="175"/>
      <c r="F173" s="175"/>
      <c r="G173" s="175"/>
      <c r="H173" s="175"/>
      <c r="I173" s="175"/>
      <c r="J173" s="175"/>
      <c r="K173" s="49"/>
      <c r="L173" s="49"/>
    </row>
    <row r="174" spans="1:14" ht="48" customHeight="1" x14ac:dyDescent="0.25">
      <c r="A174" s="2" t="s">
        <v>0</v>
      </c>
      <c r="B174" s="3" t="s">
        <v>7</v>
      </c>
      <c r="C174" s="3" t="s">
        <v>6</v>
      </c>
      <c r="D174" s="3" t="s">
        <v>8</v>
      </c>
      <c r="E174" s="3" t="s">
        <v>168</v>
      </c>
      <c r="F174" s="3" t="s">
        <v>174</v>
      </c>
      <c r="G174" s="3" t="s">
        <v>175</v>
      </c>
      <c r="H174" s="3" t="s">
        <v>9</v>
      </c>
      <c r="I174" s="3" t="s">
        <v>176</v>
      </c>
      <c r="J174" s="3" t="s">
        <v>10</v>
      </c>
      <c r="K174" s="48"/>
      <c r="L174" s="48"/>
      <c r="M174" s="48"/>
    </row>
    <row r="175" spans="1:14" ht="24" x14ac:dyDescent="0.25">
      <c r="A175" s="38">
        <v>1</v>
      </c>
      <c r="B175" s="60" t="s">
        <v>205</v>
      </c>
      <c r="C175" s="10" t="str">
        <f>"MRMS-G2-2015"</f>
        <v>MRMS-G2-2015</v>
      </c>
      <c r="D175" s="56">
        <v>42117</v>
      </c>
      <c r="E175" s="59"/>
      <c r="F175" s="8">
        <v>8180</v>
      </c>
      <c r="G175" s="8">
        <v>10225</v>
      </c>
      <c r="H175" s="56">
        <v>42369</v>
      </c>
      <c r="I175" s="24">
        <v>10225</v>
      </c>
      <c r="J175" s="77"/>
    </row>
    <row r="176" spans="1:14" x14ac:dyDescent="0.25">
      <c r="A176" s="115">
        <v>2</v>
      </c>
      <c r="B176" s="60" t="s">
        <v>212</v>
      </c>
      <c r="C176" s="10" t="str">
        <f>"350/2015"</f>
        <v>350/2015</v>
      </c>
      <c r="D176" s="56">
        <v>42419</v>
      </c>
      <c r="E176" s="59"/>
      <c r="F176" s="8">
        <v>180</v>
      </c>
      <c r="G176" s="8">
        <v>225</v>
      </c>
      <c r="H176" s="162"/>
      <c r="I176" s="167">
        <v>0</v>
      </c>
      <c r="J176" s="77"/>
    </row>
    <row r="177" spans="1:11" x14ac:dyDescent="0.25">
      <c r="A177" s="115">
        <v>3</v>
      </c>
      <c r="B177" s="60" t="s">
        <v>212</v>
      </c>
      <c r="C177" s="10" t="str">
        <f>"1129/2015"</f>
        <v>1129/2015</v>
      </c>
      <c r="D177" s="56">
        <v>42419</v>
      </c>
      <c r="E177" s="59"/>
      <c r="F177" s="8">
        <v>160</v>
      </c>
      <c r="G177" s="8">
        <v>200</v>
      </c>
      <c r="H177" s="56">
        <v>43008</v>
      </c>
      <c r="I177" s="24">
        <v>200</v>
      </c>
      <c r="J177" s="77"/>
    </row>
    <row r="178" spans="1:11" x14ac:dyDescent="0.25">
      <c r="A178" s="115">
        <v>4</v>
      </c>
      <c r="B178" s="60" t="s">
        <v>198</v>
      </c>
      <c r="C178" s="10" t="str">
        <f>"CU-G2-2014"</f>
        <v>CU-G2-2014</v>
      </c>
      <c r="D178" s="56">
        <v>41963</v>
      </c>
      <c r="E178" s="59"/>
      <c r="F178" s="8">
        <v>22788</v>
      </c>
      <c r="G178" s="8">
        <v>28485</v>
      </c>
      <c r="H178" s="56">
        <v>42004</v>
      </c>
      <c r="I178" s="24">
        <v>28485</v>
      </c>
      <c r="J178" s="77"/>
    </row>
    <row r="179" spans="1:11" ht="24" x14ac:dyDescent="0.25">
      <c r="A179" s="115">
        <v>5</v>
      </c>
      <c r="B179" s="60" t="s">
        <v>18</v>
      </c>
      <c r="C179" s="10" t="str">
        <f>"SNUG-201-17-1036"</f>
        <v>SNUG-201-17-1036</v>
      </c>
      <c r="D179" s="56">
        <v>43068</v>
      </c>
      <c r="E179" s="56">
        <v>43100</v>
      </c>
      <c r="F179" s="8">
        <v>36320</v>
      </c>
      <c r="G179" s="8">
        <v>45400</v>
      </c>
      <c r="H179" s="56">
        <v>43100</v>
      </c>
      <c r="I179" s="24">
        <v>101662.5</v>
      </c>
      <c r="J179" s="77"/>
    </row>
    <row r="180" spans="1:11" ht="24" x14ac:dyDescent="0.25">
      <c r="A180" s="115">
        <v>6</v>
      </c>
      <c r="B180" s="60" t="s">
        <v>18</v>
      </c>
      <c r="C180" s="10" t="str">
        <f>"SNUG-201-17-1025"</f>
        <v>SNUG-201-17-1025</v>
      </c>
      <c r="D180" s="56">
        <v>43068</v>
      </c>
      <c r="E180" s="56">
        <v>43100</v>
      </c>
      <c r="F180" s="8">
        <v>46614</v>
      </c>
      <c r="G180" s="8">
        <v>58267.5</v>
      </c>
      <c r="H180" s="56">
        <v>43100</v>
      </c>
      <c r="I180" s="24">
        <v>58267.5</v>
      </c>
      <c r="J180" s="77"/>
    </row>
    <row r="181" spans="1:11" x14ac:dyDescent="0.25">
      <c r="A181" s="115">
        <v>7</v>
      </c>
      <c r="B181" s="60" t="s">
        <v>278</v>
      </c>
      <c r="C181" s="10" t="str">
        <f>"195/2017"</f>
        <v>195/2017</v>
      </c>
      <c r="D181" s="56">
        <v>43038</v>
      </c>
      <c r="E181" s="56">
        <v>43174</v>
      </c>
      <c r="F181" s="8">
        <v>5584</v>
      </c>
      <c r="G181" s="8">
        <v>6980</v>
      </c>
      <c r="H181" s="56">
        <v>43100</v>
      </c>
      <c r="I181" s="24">
        <v>5930</v>
      </c>
      <c r="J181" s="77"/>
    </row>
    <row r="182" spans="1:11" ht="24" x14ac:dyDescent="0.25">
      <c r="A182" s="115">
        <v>8</v>
      </c>
      <c r="B182" s="60" t="s">
        <v>193</v>
      </c>
      <c r="C182" s="10" t="str">
        <f>"64-61-14-2-5"</f>
        <v>64-61-14-2-5</v>
      </c>
      <c r="D182" s="56">
        <v>43033</v>
      </c>
      <c r="E182" s="56">
        <v>43398</v>
      </c>
      <c r="F182" s="8">
        <v>10596</v>
      </c>
      <c r="G182" s="8">
        <v>13245</v>
      </c>
      <c r="H182" s="56">
        <v>43100</v>
      </c>
      <c r="I182" s="24">
        <v>7015</v>
      </c>
      <c r="J182" s="77"/>
      <c r="K182" s="48"/>
    </row>
    <row r="183" spans="1:11" ht="24" x14ac:dyDescent="0.25">
      <c r="A183" s="115">
        <v>9</v>
      </c>
      <c r="B183" s="60" t="s">
        <v>187</v>
      </c>
      <c r="C183" s="10" t="str">
        <f>"13/2013-2-U3"</f>
        <v>13/2013-2-U3</v>
      </c>
      <c r="D183" s="56">
        <v>42895</v>
      </c>
      <c r="E183" s="56">
        <v>43304</v>
      </c>
      <c r="F183" s="8">
        <v>5192</v>
      </c>
      <c r="G183" s="8">
        <v>6490</v>
      </c>
      <c r="H183" s="56">
        <v>42916</v>
      </c>
      <c r="I183" s="24">
        <v>0</v>
      </c>
      <c r="J183" s="77"/>
    </row>
    <row r="184" spans="1:11" ht="24" x14ac:dyDescent="0.25">
      <c r="A184" s="115">
        <v>10</v>
      </c>
      <c r="B184" s="60" t="s">
        <v>196</v>
      </c>
      <c r="C184" s="10" t="str">
        <f>"MGPU 13/2013-2_2"</f>
        <v>MGPU 13/2013-2_2</v>
      </c>
      <c r="D184" s="56">
        <v>42887</v>
      </c>
      <c r="E184" s="56">
        <v>43100</v>
      </c>
      <c r="F184" s="8">
        <v>5280</v>
      </c>
      <c r="G184" s="8">
        <v>6600</v>
      </c>
      <c r="H184" s="56">
        <v>43100</v>
      </c>
      <c r="I184" s="24">
        <v>1100</v>
      </c>
      <c r="J184" s="77"/>
    </row>
    <row r="185" spans="1:11" ht="24" x14ac:dyDescent="0.25">
      <c r="A185" s="115">
        <v>11</v>
      </c>
      <c r="B185" s="60" t="s">
        <v>18</v>
      </c>
      <c r="C185" s="10" t="str">
        <f>"SNUG-201-17-0355"</f>
        <v>SNUG-201-17-0355</v>
      </c>
      <c r="D185" s="56">
        <v>42878</v>
      </c>
      <c r="E185" s="56">
        <v>43100</v>
      </c>
      <c r="F185" s="8">
        <v>2163.1999999999998</v>
      </c>
      <c r="G185" s="8">
        <v>2704</v>
      </c>
      <c r="H185" s="56">
        <v>43100</v>
      </c>
      <c r="I185" s="24">
        <v>7618.75</v>
      </c>
      <c r="J185" s="77"/>
    </row>
    <row r="186" spans="1:11" ht="24" x14ac:dyDescent="0.25">
      <c r="A186" s="115">
        <v>12</v>
      </c>
      <c r="B186" s="60" t="s">
        <v>18</v>
      </c>
      <c r="C186" s="10" t="str">
        <f>"SNUG-201-17-0354"</f>
        <v>SNUG-201-17-0354</v>
      </c>
      <c r="D186" s="56">
        <v>42878</v>
      </c>
      <c r="E186" s="56">
        <v>43100</v>
      </c>
      <c r="F186" s="8">
        <v>1572.74</v>
      </c>
      <c r="G186" s="8">
        <v>1965.93</v>
      </c>
      <c r="H186" s="56">
        <v>43100</v>
      </c>
      <c r="I186" s="24">
        <v>0</v>
      </c>
      <c r="J186" s="77"/>
    </row>
    <row r="187" spans="1:11" ht="24" x14ac:dyDescent="0.25">
      <c r="A187" s="115">
        <v>13</v>
      </c>
      <c r="B187" s="60" t="s">
        <v>18</v>
      </c>
      <c r="C187" s="10" t="str">
        <f>"SNUG-201-17-0353"</f>
        <v>SNUG-201-17-0353</v>
      </c>
      <c r="D187" s="56">
        <v>42878</v>
      </c>
      <c r="E187" s="56">
        <v>43100</v>
      </c>
      <c r="F187" s="8">
        <v>41173.69</v>
      </c>
      <c r="G187" s="8">
        <v>51467.11</v>
      </c>
      <c r="H187" s="56">
        <v>43100</v>
      </c>
      <c r="I187" s="24">
        <v>72250</v>
      </c>
      <c r="J187" s="77"/>
    </row>
    <row r="188" spans="1:11" ht="24" x14ac:dyDescent="0.25">
      <c r="A188" s="115">
        <v>14</v>
      </c>
      <c r="B188" s="60" t="s">
        <v>205</v>
      </c>
      <c r="C188" s="10" t="str">
        <f>"MRMS-G2-2017"</f>
        <v>MRMS-G2-2017</v>
      </c>
      <c r="D188" s="56">
        <v>42858</v>
      </c>
      <c r="E188" s="56">
        <v>43100</v>
      </c>
      <c r="F188" s="8">
        <v>1700</v>
      </c>
      <c r="G188" s="8">
        <v>2125</v>
      </c>
      <c r="H188" s="56">
        <v>42916</v>
      </c>
      <c r="I188" s="24">
        <v>1050</v>
      </c>
      <c r="J188" s="77"/>
    </row>
    <row r="189" spans="1:11" x14ac:dyDescent="0.25">
      <c r="A189" s="115">
        <v>15</v>
      </c>
      <c r="B189" s="60" t="s">
        <v>278</v>
      </c>
      <c r="C189" s="10" t="str">
        <f>"70/2017"</f>
        <v>70/2017</v>
      </c>
      <c r="D189" s="56">
        <v>42831</v>
      </c>
      <c r="E189" s="56">
        <v>43039</v>
      </c>
      <c r="F189" s="8">
        <v>2940</v>
      </c>
      <c r="G189" s="8">
        <v>3675</v>
      </c>
      <c r="H189" s="56">
        <v>43039</v>
      </c>
      <c r="I189" s="24">
        <v>4125</v>
      </c>
      <c r="J189" s="77"/>
    </row>
    <row r="190" spans="1:11" ht="24" x14ac:dyDescent="0.25">
      <c r="A190" s="115">
        <v>16</v>
      </c>
      <c r="B190" s="60" t="s">
        <v>206</v>
      </c>
      <c r="C190" s="10" t="str">
        <f>"GUME GRUPA 2"</f>
        <v>GUME GRUPA 2</v>
      </c>
      <c r="D190" s="56">
        <v>42753</v>
      </c>
      <c r="E190" s="56">
        <v>43100</v>
      </c>
      <c r="F190" s="8">
        <v>8604</v>
      </c>
      <c r="G190" s="8">
        <v>10755</v>
      </c>
      <c r="H190" s="56">
        <v>43100</v>
      </c>
      <c r="I190" s="24">
        <v>12046.5</v>
      </c>
      <c r="J190" s="77"/>
      <c r="K190" s="48"/>
    </row>
    <row r="191" spans="1:11" x14ac:dyDescent="0.25">
      <c r="A191" s="115">
        <v>17</v>
      </c>
      <c r="B191" s="60" t="s">
        <v>185</v>
      </c>
      <c r="C191" s="10" t="str">
        <f>"13/2013-2"</f>
        <v>13/2013-2</v>
      </c>
      <c r="D191" s="56">
        <v>42698</v>
      </c>
      <c r="E191" s="56">
        <v>43100</v>
      </c>
      <c r="F191" s="8">
        <v>5484</v>
      </c>
      <c r="G191" s="8">
        <v>6855</v>
      </c>
      <c r="H191" s="56">
        <v>43100</v>
      </c>
      <c r="I191" s="24">
        <v>2445</v>
      </c>
      <c r="J191" s="77"/>
    </row>
    <row r="192" spans="1:11" ht="24" x14ac:dyDescent="0.25">
      <c r="A192" s="115">
        <v>18</v>
      </c>
      <c r="B192" s="60" t="s">
        <v>193</v>
      </c>
      <c r="C192" s="10" t="str">
        <f>"64-61-14-2-4"</f>
        <v>64-61-14-2-4</v>
      </c>
      <c r="D192" s="56">
        <v>42667</v>
      </c>
      <c r="E192" s="56">
        <v>43032</v>
      </c>
      <c r="F192" s="8">
        <v>25540</v>
      </c>
      <c r="G192" s="8">
        <v>31925</v>
      </c>
      <c r="H192" s="56">
        <v>43100</v>
      </c>
      <c r="I192" s="24">
        <v>22840</v>
      </c>
      <c r="J192" s="77"/>
    </row>
    <row r="193" spans="1:14" x14ac:dyDescent="0.25">
      <c r="A193" s="115">
        <v>19</v>
      </c>
      <c r="B193" s="60" t="s">
        <v>210</v>
      </c>
      <c r="C193" s="10" t="str">
        <f>"PU-G2-2016"</f>
        <v>PU-G2-2016</v>
      </c>
      <c r="D193" s="56">
        <v>42500</v>
      </c>
      <c r="E193" s="56">
        <v>42865</v>
      </c>
      <c r="F193" s="8">
        <v>2628</v>
      </c>
      <c r="G193" s="8">
        <v>3285</v>
      </c>
      <c r="H193" s="56">
        <v>42865</v>
      </c>
      <c r="I193" s="24">
        <v>3585</v>
      </c>
      <c r="J193" s="70"/>
    </row>
    <row r="194" spans="1:14" ht="24" x14ac:dyDescent="0.25">
      <c r="A194" s="115">
        <v>20</v>
      </c>
      <c r="B194" s="60" t="s">
        <v>187</v>
      </c>
      <c r="C194" s="10" t="str">
        <f>"802/01-16/04OS-2-U1"</f>
        <v>802/01-16/04OS-2-U1</v>
      </c>
      <c r="D194" s="56">
        <v>42493</v>
      </c>
      <c r="E194" s="56">
        <v>42858</v>
      </c>
      <c r="F194" s="8">
        <v>9264</v>
      </c>
      <c r="G194" s="8">
        <v>11580</v>
      </c>
      <c r="H194" s="56">
        <v>42916</v>
      </c>
      <c r="I194" s="24">
        <v>6722.5</v>
      </c>
      <c r="J194" s="70"/>
    </row>
    <row r="195" spans="1:14" ht="7.5" customHeight="1" x14ac:dyDescent="0.25"/>
    <row r="196" spans="1:14" x14ac:dyDescent="0.25">
      <c r="A196" s="175" t="s">
        <v>179</v>
      </c>
      <c r="B196" s="175"/>
      <c r="C196" s="175"/>
      <c r="D196" s="175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</row>
    <row r="197" spans="1:14" ht="36" x14ac:dyDescent="0.25">
      <c r="A197" s="53" t="s">
        <v>0</v>
      </c>
      <c r="B197" s="54" t="s">
        <v>1</v>
      </c>
      <c r="C197" s="54" t="s">
        <v>3</v>
      </c>
      <c r="D197" s="178" t="s">
        <v>171</v>
      </c>
      <c r="E197" s="178"/>
      <c r="F197" s="54" t="s">
        <v>166</v>
      </c>
      <c r="G197" s="54" t="s">
        <v>170</v>
      </c>
      <c r="H197" s="54" t="s">
        <v>167</v>
      </c>
      <c r="I197" s="54" t="s">
        <v>4</v>
      </c>
      <c r="J197" s="54" t="s">
        <v>5</v>
      </c>
      <c r="K197" s="54" t="s">
        <v>2</v>
      </c>
      <c r="L197" s="54" t="s">
        <v>172</v>
      </c>
      <c r="M197" s="54" t="s">
        <v>173</v>
      </c>
      <c r="N197" s="54" t="s">
        <v>169</v>
      </c>
    </row>
    <row r="198" spans="1:14" ht="106.5" customHeight="1" x14ac:dyDescent="0.25">
      <c r="A198" s="1">
        <v>1</v>
      </c>
      <c r="B198" s="4" t="s">
        <v>58</v>
      </c>
      <c r="C198" s="1" t="s">
        <v>33</v>
      </c>
      <c r="D198" s="179" t="s">
        <v>1054</v>
      </c>
      <c r="E198" s="180"/>
      <c r="F198" s="1" t="s">
        <v>69</v>
      </c>
      <c r="G198" s="1" t="s">
        <v>1001</v>
      </c>
      <c r="H198" s="1" t="s">
        <v>15</v>
      </c>
      <c r="I198" s="15">
        <v>41843</v>
      </c>
      <c r="J198" s="1" t="s">
        <v>59</v>
      </c>
      <c r="K198" s="8">
        <v>2843113.33</v>
      </c>
      <c r="L198" s="8">
        <f>K198*0.25</f>
        <v>710778.33250000002</v>
      </c>
      <c r="M198" s="8">
        <f>K198+L198</f>
        <v>3553891.6625000001</v>
      </c>
      <c r="N198" s="176"/>
    </row>
    <row r="199" spans="1:14" ht="15" customHeight="1" x14ac:dyDescent="0.25">
      <c r="A199" s="177" t="s">
        <v>1012</v>
      </c>
      <c r="B199" s="177"/>
      <c r="C199" s="177"/>
      <c r="D199" s="177"/>
      <c r="E199" s="177"/>
      <c r="F199" s="177"/>
      <c r="G199" s="177"/>
      <c r="H199" s="177"/>
      <c r="I199" s="177"/>
      <c r="J199" s="177"/>
      <c r="K199" s="177"/>
      <c r="L199" s="177"/>
      <c r="M199" s="8">
        <v>64220</v>
      </c>
      <c r="N199" s="176"/>
    </row>
    <row r="200" spans="1:14" ht="7.5" customHeight="1" x14ac:dyDescent="0.25">
      <c r="L200" s="47"/>
    </row>
    <row r="201" spans="1:14" ht="15" customHeight="1" x14ac:dyDescent="0.25">
      <c r="A201" s="175" t="s">
        <v>12</v>
      </c>
      <c r="B201" s="175"/>
      <c r="C201" s="175"/>
      <c r="D201" s="175"/>
      <c r="E201" s="175"/>
      <c r="F201" s="175"/>
      <c r="G201" s="175"/>
      <c r="H201" s="175"/>
      <c r="I201" s="175"/>
      <c r="J201" s="175"/>
      <c r="K201" s="49"/>
      <c r="L201" s="49"/>
    </row>
    <row r="202" spans="1:14" ht="48" customHeight="1" x14ac:dyDescent="0.25">
      <c r="A202" s="2" t="s">
        <v>0</v>
      </c>
      <c r="B202" s="3" t="s">
        <v>7</v>
      </c>
      <c r="C202" s="3" t="s">
        <v>6</v>
      </c>
      <c r="D202" s="3" t="s">
        <v>8</v>
      </c>
      <c r="E202" s="3" t="s">
        <v>168</v>
      </c>
      <c r="F202" s="3" t="s">
        <v>174</v>
      </c>
      <c r="G202" s="3" t="s">
        <v>175</v>
      </c>
      <c r="H202" s="3" t="s">
        <v>9</v>
      </c>
      <c r="I202" s="3" t="s">
        <v>176</v>
      </c>
      <c r="J202" s="3" t="s">
        <v>10</v>
      </c>
      <c r="K202" s="48"/>
      <c r="L202" s="48"/>
      <c r="M202" s="48"/>
    </row>
    <row r="203" spans="1:14" ht="24" x14ac:dyDescent="0.25">
      <c r="A203" s="1">
        <v>1</v>
      </c>
      <c r="B203" s="173" t="s">
        <v>205</v>
      </c>
      <c r="C203" s="10" t="str">
        <f>"MRMS-G3-2015"</f>
        <v>MRMS-G3-2015</v>
      </c>
      <c r="D203" s="56">
        <v>42117</v>
      </c>
      <c r="E203" s="59"/>
      <c r="F203" s="70">
        <v>7100</v>
      </c>
      <c r="G203" s="70">
        <v>8875</v>
      </c>
      <c r="H203" s="56">
        <v>42369</v>
      </c>
      <c r="I203" s="24">
        <v>8875</v>
      </c>
      <c r="J203" s="70"/>
    </row>
    <row r="204" spans="1:14" ht="24" x14ac:dyDescent="0.25">
      <c r="A204" s="1">
        <v>2</v>
      </c>
      <c r="B204" s="173" t="s">
        <v>18</v>
      </c>
      <c r="C204" s="10" t="str">
        <f>"SNUG-201-17-1031"</f>
        <v>SNUG-201-17-1031</v>
      </c>
      <c r="D204" s="56">
        <v>43068</v>
      </c>
      <c r="E204" s="56">
        <v>43100</v>
      </c>
      <c r="F204" s="10">
        <v>630.4</v>
      </c>
      <c r="G204" s="10">
        <v>788</v>
      </c>
      <c r="H204" s="56">
        <v>43100</v>
      </c>
      <c r="I204" s="24">
        <v>835</v>
      </c>
      <c r="J204" s="70"/>
    </row>
    <row r="205" spans="1:14" x14ac:dyDescent="0.25">
      <c r="A205" s="1">
        <v>3</v>
      </c>
      <c r="B205" s="173" t="s">
        <v>278</v>
      </c>
      <c r="C205" s="10" t="str">
        <f>"196/2017"</f>
        <v>196/2017</v>
      </c>
      <c r="D205" s="56">
        <v>43038</v>
      </c>
      <c r="E205" s="56">
        <v>43174</v>
      </c>
      <c r="F205" s="70">
        <v>2640</v>
      </c>
      <c r="G205" s="70">
        <v>3300</v>
      </c>
      <c r="H205" s="56">
        <v>43100</v>
      </c>
      <c r="I205" s="24">
        <v>2250</v>
      </c>
      <c r="J205" s="70"/>
    </row>
    <row r="206" spans="1:14" ht="24" x14ac:dyDescent="0.25">
      <c r="A206" s="1">
        <v>4</v>
      </c>
      <c r="B206" s="173" t="s">
        <v>193</v>
      </c>
      <c r="C206" s="10" t="str">
        <f>"64-61-14-3-4"</f>
        <v>64-61-14-3-4</v>
      </c>
      <c r="D206" s="56">
        <v>43033</v>
      </c>
      <c r="E206" s="56">
        <v>43398</v>
      </c>
      <c r="F206" s="70">
        <v>8200</v>
      </c>
      <c r="G206" s="70">
        <v>10250</v>
      </c>
      <c r="H206" s="56">
        <v>43100</v>
      </c>
      <c r="I206" s="24">
        <v>4575</v>
      </c>
      <c r="J206" s="70"/>
    </row>
    <row r="207" spans="1:14" ht="24" x14ac:dyDescent="0.25">
      <c r="A207" s="1">
        <v>5</v>
      </c>
      <c r="B207" s="173" t="s">
        <v>187</v>
      </c>
      <c r="C207" s="10" t="str">
        <f>"13/2013-3-U3"</f>
        <v>13/2013-3-U3</v>
      </c>
      <c r="D207" s="56">
        <v>42895</v>
      </c>
      <c r="E207" s="56">
        <v>43298</v>
      </c>
      <c r="F207" s="70">
        <v>5524</v>
      </c>
      <c r="G207" s="70">
        <v>6905</v>
      </c>
      <c r="H207" s="56">
        <v>42916</v>
      </c>
      <c r="I207" s="24">
        <v>0</v>
      </c>
      <c r="J207" s="70"/>
    </row>
    <row r="208" spans="1:14" ht="24" x14ac:dyDescent="0.25">
      <c r="A208" s="1">
        <v>6</v>
      </c>
      <c r="B208" s="173" t="s">
        <v>196</v>
      </c>
      <c r="C208" s="10" t="str">
        <f>"MGPU 13/2013-3_2"</f>
        <v>MGPU 13/2013-3_2</v>
      </c>
      <c r="D208" s="56">
        <v>42887</v>
      </c>
      <c r="E208" s="56">
        <v>43100</v>
      </c>
      <c r="F208" s="70">
        <v>7140</v>
      </c>
      <c r="G208" s="70">
        <v>8925</v>
      </c>
      <c r="H208" s="56">
        <v>43100</v>
      </c>
      <c r="I208" s="24">
        <v>4530</v>
      </c>
      <c r="J208" s="70"/>
    </row>
    <row r="209" spans="1:14" ht="24" x14ac:dyDescent="0.25">
      <c r="A209" s="1">
        <v>7</v>
      </c>
      <c r="B209" s="173" t="s">
        <v>18</v>
      </c>
      <c r="C209" s="10" t="str">
        <f>"SNUG-201-17-0356"</f>
        <v>SNUG-201-17-0356</v>
      </c>
      <c r="D209" s="56">
        <v>42878</v>
      </c>
      <c r="E209" s="56">
        <v>43100</v>
      </c>
      <c r="F209" s="70">
        <v>4786.75</v>
      </c>
      <c r="G209" s="70">
        <v>5983.44</v>
      </c>
      <c r="H209" s="56">
        <v>43100</v>
      </c>
      <c r="I209" s="24">
        <v>3925</v>
      </c>
      <c r="J209" s="70"/>
    </row>
    <row r="210" spans="1:14" ht="24" x14ac:dyDescent="0.25">
      <c r="A210" s="1">
        <v>8</v>
      </c>
      <c r="B210" s="173" t="s">
        <v>205</v>
      </c>
      <c r="C210" s="10" t="str">
        <f>"MRMS-G3-2017"</f>
        <v>MRMS-G3-2017</v>
      </c>
      <c r="D210" s="56">
        <v>42858</v>
      </c>
      <c r="E210" s="56">
        <v>43100</v>
      </c>
      <c r="F210" s="70">
        <v>4000</v>
      </c>
      <c r="G210" s="70">
        <v>5000</v>
      </c>
      <c r="H210" s="56">
        <v>42916</v>
      </c>
      <c r="I210" s="24">
        <v>2500</v>
      </c>
      <c r="J210" s="70"/>
      <c r="K210" s="48"/>
    </row>
    <row r="211" spans="1:14" x14ac:dyDescent="0.25">
      <c r="A211" s="1">
        <v>9</v>
      </c>
      <c r="B211" s="173" t="s">
        <v>278</v>
      </c>
      <c r="C211" s="10" t="str">
        <f>"71/2017"</f>
        <v>71/2017</v>
      </c>
      <c r="D211" s="56">
        <v>42831</v>
      </c>
      <c r="E211" s="56">
        <v>43039</v>
      </c>
      <c r="F211" s="70">
        <v>2700</v>
      </c>
      <c r="G211" s="70">
        <v>3375</v>
      </c>
      <c r="H211" s="56">
        <v>43039</v>
      </c>
      <c r="I211" s="24">
        <v>3675</v>
      </c>
      <c r="J211" s="70"/>
    </row>
    <row r="212" spans="1:14" x14ac:dyDescent="0.25">
      <c r="A212" s="1">
        <v>10</v>
      </c>
      <c r="B212" s="173" t="s">
        <v>185</v>
      </c>
      <c r="C212" s="10" t="str">
        <f>"13/2013-3"</f>
        <v>13/2013-3</v>
      </c>
      <c r="D212" s="56">
        <v>42698</v>
      </c>
      <c r="E212" s="56">
        <v>43100</v>
      </c>
      <c r="F212" s="70">
        <v>2352</v>
      </c>
      <c r="G212" s="70">
        <v>2940</v>
      </c>
      <c r="H212" s="56">
        <v>43100</v>
      </c>
      <c r="I212" s="24">
        <v>1595</v>
      </c>
      <c r="J212" s="70"/>
    </row>
    <row r="213" spans="1:14" ht="24" x14ac:dyDescent="0.25">
      <c r="A213" s="1">
        <v>11</v>
      </c>
      <c r="B213" s="173" t="s">
        <v>195</v>
      </c>
      <c r="C213" s="10" t="str">
        <f>"MUP-G3-2016-5"</f>
        <v>MUP-G3-2016-5</v>
      </c>
      <c r="D213" s="56">
        <v>42705</v>
      </c>
      <c r="E213" s="56">
        <v>42736</v>
      </c>
      <c r="F213" s="70">
        <v>4760</v>
      </c>
      <c r="G213" s="70">
        <v>5950</v>
      </c>
      <c r="H213" s="56">
        <v>42735</v>
      </c>
      <c r="I213" s="24">
        <v>5950</v>
      </c>
      <c r="J213" s="70"/>
    </row>
    <row r="214" spans="1:14" ht="24" x14ac:dyDescent="0.25">
      <c r="A214" s="1">
        <v>12</v>
      </c>
      <c r="B214" s="173" t="s">
        <v>193</v>
      </c>
      <c r="C214" s="10" t="str">
        <f>"64-61-14-3-3"</f>
        <v>64-61-14-3-3</v>
      </c>
      <c r="D214" s="56">
        <v>42667</v>
      </c>
      <c r="E214" s="56">
        <v>43032</v>
      </c>
      <c r="F214" s="70">
        <v>21608</v>
      </c>
      <c r="G214" s="70">
        <v>27010</v>
      </c>
      <c r="H214" s="56">
        <v>43100</v>
      </c>
      <c r="I214" s="24">
        <v>9557.5</v>
      </c>
      <c r="J214" s="70"/>
    </row>
    <row r="215" spans="1:14" x14ac:dyDescent="0.25">
      <c r="A215" s="1">
        <v>13</v>
      </c>
      <c r="B215" s="173" t="s">
        <v>278</v>
      </c>
      <c r="C215" s="10" t="str">
        <f>"126/2016"</f>
        <v>126/2016</v>
      </c>
      <c r="D215" s="56">
        <v>42647</v>
      </c>
      <c r="E215" s="56">
        <v>42840</v>
      </c>
      <c r="F215" s="70">
        <v>8016</v>
      </c>
      <c r="G215" s="70">
        <v>10020</v>
      </c>
      <c r="H215" s="56">
        <v>42840</v>
      </c>
      <c r="I215" s="24">
        <v>11420</v>
      </c>
      <c r="J215" s="70"/>
    </row>
    <row r="216" spans="1:14" x14ac:dyDescent="0.25">
      <c r="A216" s="1">
        <v>14</v>
      </c>
      <c r="B216" s="173" t="s">
        <v>210</v>
      </c>
      <c r="C216" s="10" t="str">
        <f>"PU G3 2016"</f>
        <v>PU G3 2016</v>
      </c>
      <c r="D216" s="56">
        <v>42507</v>
      </c>
      <c r="E216" s="56">
        <v>42872</v>
      </c>
      <c r="F216" s="70">
        <v>1640</v>
      </c>
      <c r="G216" s="70">
        <v>2050</v>
      </c>
      <c r="H216" s="56">
        <v>42872</v>
      </c>
      <c r="I216" s="24">
        <v>2050</v>
      </c>
      <c r="J216" s="70"/>
    </row>
    <row r="217" spans="1:14" ht="24" x14ac:dyDescent="0.25">
      <c r="A217" s="1">
        <v>15</v>
      </c>
      <c r="B217" s="173" t="s">
        <v>187</v>
      </c>
      <c r="C217" s="10" t="str">
        <f>"802/01-16/04OS-3-U1"</f>
        <v>802/01-16/04OS-3-U1</v>
      </c>
      <c r="D217" s="56">
        <v>42493</v>
      </c>
      <c r="E217" s="56">
        <v>42858</v>
      </c>
      <c r="F217" s="70">
        <v>6548</v>
      </c>
      <c r="G217" s="70">
        <v>8185</v>
      </c>
      <c r="H217" s="56">
        <v>42916</v>
      </c>
      <c r="I217" s="24">
        <v>2482.5</v>
      </c>
      <c r="J217" s="70"/>
    </row>
    <row r="218" spans="1:14" ht="7.5" customHeight="1" x14ac:dyDescent="0.25"/>
    <row r="219" spans="1:14" x14ac:dyDescent="0.25">
      <c r="A219" s="175" t="s">
        <v>179</v>
      </c>
      <c r="B219" s="175"/>
      <c r="C219" s="175"/>
      <c r="D219" s="175"/>
      <c r="E219" s="175"/>
      <c r="F219" s="175"/>
      <c r="G219" s="175"/>
      <c r="H219" s="175"/>
      <c r="I219" s="175"/>
      <c r="J219" s="175"/>
      <c r="K219" s="175"/>
      <c r="L219" s="175"/>
      <c r="M219" s="175"/>
      <c r="N219" s="175"/>
    </row>
    <row r="220" spans="1:14" ht="36" x14ac:dyDescent="0.25">
      <c r="A220" s="53" t="s">
        <v>0</v>
      </c>
      <c r="B220" s="54" t="s">
        <v>1</v>
      </c>
      <c r="C220" s="54" t="s">
        <v>3</v>
      </c>
      <c r="D220" s="178" t="s">
        <v>171</v>
      </c>
      <c r="E220" s="178"/>
      <c r="F220" s="54" t="s">
        <v>166</v>
      </c>
      <c r="G220" s="54" t="s">
        <v>170</v>
      </c>
      <c r="H220" s="54" t="s">
        <v>167</v>
      </c>
      <c r="I220" s="54" t="s">
        <v>4</v>
      </c>
      <c r="J220" s="54" t="s">
        <v>5</v>
      </c>
      <c r="K220" s="54" t="s">
        <v>2</v>
      </c>
      <c r="L220" s="54" t="s">
        <v>172</v>
      </c>
      <c r="M220" s="54" t="s">
        <v>173</v>
      </c>
      <c r="N220" s="54" t="s">
        <v>169</v>
      </c>
    </row>
    <row r="221" spans="1:14" ht="85.5" customHeight="1" x14ac:dyDescent="0.25">
      <c r="A221" s="1">
        <v>1</v>
      </c>
      <c r="B221" s="4" t="s">
        <v>58</v>
      </c>
      <c r="C221" s="1" t="s">
        <v>34</v>
      </c>
      <c r="D221" s="179" t="s">
        <v>1057</v>
      </c>
      <c r="E221" s="180"/>
      <c r="F221" s="1" t="s">
        <v>69</v>
      </c>
      <c r="G221" s="1" t="s">
        <v>1001</v>
      </c>
      <c r="H221" s="1" t="s">
        <v>15</v>
      </c>
      <c r="I221" s="15">
        <v>41843</v>
      </c>
      <c r="J221" s="1" t="s">
        <v>59</v>
      </c>
      <c r="K221" s="8">
        <v>1563621.33</v>
      </c>
      <c r="L221" s="8">
        <f>K221*0.25</f>
        <v>390905.33250000002</v>
      </c>
      <c r="M221" s="8">
        <f>K221+L221</f>
        <v>1954526.6625000001</v>
      </c>
      <c r="N221" s="176"/>
    </row>
    <row r="222" spans="1:14" ht="15" customHeight="1" x14ac:dyDescent="0.25">
      <c r="A222" s="177" t="s">
        <v>1012</v>
      </c>
      <c r="B222" s="177"/>
      <c r="C222" s="177"/>
      <c r="D222" s="177"/>
      <c r="E222" s="177"/>
      <c r="F222" s="177"/>
      <c r="G222" s="177"/>
      <c r="H222" s="177"/>
      <c r="I222" s="177"/>
      <c r="J222" s="177"/>
      <c r="K222" s="177"/>
      <c r="L222" s="177"/>
      <c r="M222" s="8">
        <v>43935</v>
      </c>
      <c r="N222" s="176"/>
    </row>
    <row r="223" spans="1:14" ht="7.5" customHeight="1" x14ac:dyDescent="0.25">
      <c r="L223" s="47"/>
    </row>
    <row r="224" spans="1:14" ht="15" customHeight="1" x14ac:dyDescent="0.25">
      <c r="A224" s="175" t="s">
        <v>12</v>
      </c>
      <c r="B224" s="175"/>
      <c r="C224" s="175"/>
      <c r="D224" s="175"/>
      <c r="E224" s="175"/>
      <c r="F224" s="175"/>
      <c r="G224" s="175"/>
      <c r="H224" s="175"/>
      <c r="I224" s="175"/>
      <c r="J224" s="175"/>
      <c r="K224" s="49"/>
      <c r="L224" s="49"/>
    </row>
    <row r="225" spans="1:14" ht="48" customHeight="1" x14ac:dyDescent="0.25">
      <c r="A225" s="2" t="s">
        <v>0</v>
      </c>
      <c r="B225" s="3" t="s">
        <v>7</v>
      </c>
      <c r="C225" s="3" t="s">
        <v>6</v>
      </c>
      <c r="D225" s="3" t="s">
        <v>8</v>
      </c>
      <c r="E225" s="3" t="s">
        <v>168</v>
      </c>
      <c r="F225" s="3" t="s">
        <v>174</v>
      </c>
      <c r="G225" s="3" t="s">
        <v>175</v>
      </c>
      <c r="H225" s="3" t="s">
        <v>9</v>
      </c>
      <c r="I225" s="3" t="s">
        <v>176</v>
      </c>
      <c r="J225" s="3" t="s">
        <v>10</v>
      </c>
      <c r="K225" s="48"/>
      <c r="L225" s="48"/>
      <c r="M225" s="48"/>
    </row>
    <row r="226" spans="1:14" ht="24" x14ac:dyDescent="0.25">
      <c r="A226" s="1">
        <v>1</v>
      </c>
      <c r="B226" s="60" t="s">
        <v>205</v>
      </c>
      <c r="C226" s="10" t="str">
        <f>"MRMS-G4-2015"</f>
        <v>MRMS-G4-2015</v>
      </c>
      <c r="D226" s="56">
        <v>42117</v>
      </c>
      <c r="E226" s="59"/>
      <c r="F226" s="8">
        <v>10620</v>
      </c>
      <c r="G226" s="8">
        <v>13275</v>
      </c>
      <c r="H226" s="56">
        <v>42369</v>
      </c>
      <c r="I226" s="24">
        <v>13275</v>
      </c>
      <c r="J226" s="70"/>
    </row>
    <row r="227" spans="1:14" x14ac:dyDescent="0.25">
      <c r="A227" s="1">
        <v>2</v>
      </c>
      <c r="B227" s="60" t="s">
        <v>212</v>
      </c>
      <c r="C227" s="10" t="str">
        <f>"351/2015"</f>
        <v>351/2015</v>
      </c>
      <c r="D227" s="56">
        <v>42103</v>
      </c>
      <c r="E227" s="59"/>
      <c r="F227" s="8">
        <v>1116</v>
      </c>
      <c r="G227" s="8">
        <v>1395</v>
      </c>
      <c r="H227" s="56">
        <v>42103</v>
      </c>
      <c r="I227" s="24">
        <v>1395</v>
      </c>
      <c r="J227" s="70"/>
    </row>
    <row r="228" spans="1:14" x14ac:dyDescent="0.25">
      <c r="A228" s="1">
        <v>3</v>
      </c>
      <c r="B228" s="60" t="s">
        <v>212</v>
      </c>
      <c r="C228" s="10" t="str">
        <f>"1175/2015"</f>
        <v>1175/2015</v>
      </c>
      <c r="D228" s="56">
        <v>42334</v>
      </c>
      <c r="E228" s="59"/>
      <c r="F228" s="8">
        <v>140</v>
      </c>
      <c r="G228" s="8">
        <v>175</v>
      </c>
      <c r="H228" s="56">
        <v>42334</v>
      </c>
      <c r="I228" s="24">
        <v>175</v>
      </c>
      <c r="J228" s="70"/>
    </row>
    <row r="229" spans="1:14" x14ac:dyDescent="0.25">
      <c r="A229" s="1">
        <v>4</v>
      </c>
      <c r="B229" s="60" t="s">
        <v>278</v>
      </c>
      <c r="C229" s="10" t="str">
        <f>"197/2017"</f>
        <v>197/2017</v>
      </c>
      <c r="D229" s="56">
        <v>43038</v>
      </c>
      <c r="E229" s="56">
        <v>43174</v>
      </c>
      <c r="F229" s="8">
        <v>2440</v>
      </c>
      <c r="G229" s="8">
        <v>3050</v>
      </c>
      <c r="H229" s="56">
        <v>43100</v>
      </c>
      <c r="I229" s="24">
        <v>4600</v>
      </c>
      <c r="J229" s="70"/>
    </row>
    <row r="230" spans="1:14" ht="24" x14ac:dyDescent="0.25">
      <c r="A230" s="1">
        <v>5</v>
      </c>
      <c r="B230" s="60" t="s">
        <v>187</v>
      </c>
      <c r="C230" s="10" t="str">
        <f>"13/2013-4-U3"</f>
        <v>13/2013-4-U3</v>
      </c>
      <c r="D230" s="56">
        <v>42895</v>
      </c>
      <c r="E230" s="56">
        <v>42933</v>
      </c>
      <c r="F230" s="8">
        <v>1040</v>
      </c>
      <c r="G230" s="8">
        <v>1300</v>
      </c>
      <c r="H230" s="56">
        <v>42916</v>
      </c>
      <c r="I230" s="24">
        <v>0</v>
      </c>
      <c r="J230" s="70"/>
    </row>
    <row r="231" spans="1:14" ht="24" x14ac:dyDescent="0.25">
      <c r="A231" s="1">
        <v>6</v>
      </c>
      <c r="B231" s="60" t="s">
        <v>196</v>
      </c>
      <c r="C231" s="10" t="str">
        <f>"MGPU 13/2013-4_2"</f>
        <v>MGPU 13/2013-4_2</v>
      </c>
      <c r="D231" s="56">
        <v>42887</v>
      </c>
      <c r="E231" s="56">
        <v>43100</v>
      </c>
      <c r="F231" s="8">
        <v>3720</v>
      </c>
      <c r="G231" s="8">
        <v>4650</v>
      </c>
      <c r="H231" s="56">
        <v>43100</v>
      </c>
      <c r="I231" s="24">
        <v>1550</v>
      </c>
      <c r="J231" s="70"/>
    </row>
    <row r="232" spans="1:14" ht="24" x14ac:dyDescent="0.25">
      <c r="A232" s="1">
        <v>7</v>
      </c>
      <c r="B232" s="60" t="s">
        <v>205</v>
      </c>
      <c r="C232" s="10" t="str">
        <f>"MRMS-G4-2017"</f>
        <v>MRMS-G4-2017</v>
      </c>
      <c r="D232" s="56">
        <v>42858</v>
      </c>
      <c r="E232" s="56">
        <v>43100</v>
      </c>
      <c r="F232" s="8">
        <v>2200</v>
      </c>
      <c r="G232" s="8">
        <v>2750</v>
      </c>
      <c r="H232" s="56">
        <v>42916</v>
      </c>
      <c r="I232" s="24">
        <v>1300</v>
      </c>
      <c r="J232" s="70"/>
    </row>
    <row r="233" spans="1:14" x14ac:dyDescent="0.25">
      <c r="A233" s="1">
        <v>8</v>
      </c>
      <c r="B233" s="60" t="s">
        <v>278</v>
      </c>
      <c r="C233" s="10" t="str">
        <f>"72/2017"</f>
        <v>72/2017</v>
      </c>
      <c r="D233" s="56">
        <v>42831</v>
      </c>
      <c r="E233" s="56">
        <v>43039</v>
      </c>
      <c r="F233" s="8">
        <v>2660</v>
      </c>
      <c r="G233" s="8">
        <v>3325</v>
      </c>
      <c r="H233" s="56">
        <v>43039</v>
      </c>
      <c r="I233" s="24">
        <v>3925</v>
      </c>
      <c r="J233" s="70"/>
      <c r="K233" s="48"/>
    </row>
    <row r="234" spans="1:14" x14ac:dyDescent="0.25">
      <c r="A234" s="1">
        <v>9</v>
      </c>
      <c r="B234" s="60" t="s">
        <v>278</v>
      </c>
      <c r="C234" s="10" t="str">
        <f>"127/2016"</f>
        <v>127/2016</v>
      </c>
      <c r="D234" s="56">
        <v>42647</v>
      </c>
      <c r="E234" s="56">
        <v>42840</v>
      </c>
      <c r="F234" s="8">
        <v>6568</v>
      </c>
      <c r="G234" s="8">
        <v>8210</v>
      </c>
      <c r="H234" s="56">
        <v>42840</v>
      </c>
      <c r="I234" s="24">
        <v>15980</v>
      </c>
      <c r="J234" s="70"/>
    </row>
    <row r="235" spans="1:14" x14ac:dyDescent="0.25">
      <c r="A235" s="1">
        <v>10</v>
      </c>
      <c r="B235" s="60" t="s">
        <v>210</v>
      </c>
      <c r="C235" s="10" t="str">
        <f>"PU-G4-2016"</f>
        <v>PU-G4-2016</v>
      </c>
      <c r="D235" s="56">
        <v>42500</v>
      </c>
      <c r="E235" s="56">
        <v>42865</v>
      </c>
      <c r="F235" s="8">
        <v>4756</v>
      </c>
      <c r="G235" s="8">
        <v>5945</v>
      </c>
      <c r="H235" s="56">
        <v>42865</v>
      </c>
      <c r="I235" s="61">
        <v>0</v>
      </c>
      <c r="J235" s="76"/>
    </row>
    <row r="236" spans="1:14" ht="24" x14ac:dyDescent="0.25">
      <c r="A236" s="1">
        <v>11</v>
      </c>
      <c r="B236" s="60" t="s">
        <v>187</v>
      </c>
      <c r="C236" s="10" t="str">
        <f>"802/01-16/04OS-4-U1"</f>
        <v>802/01-16/04OS-4-U1</v>
      </c>
      <c r="D236" s="56">
        <v>42495</v>
      </c>
      <c r="E236" s="56">
        <v>42860</v>
      </c>
      <c r="F236" s="8">
        <v>1952</v>
      </c>
      <c r="G236" s="8">
        <v>2440</v>
      </c>
      <c r="H236" s="56">
        <v>42916</v>
      </c>
      <c r="I236" s="37">
        <v>1735</v>
      </c>
      <c r="J236" s="71"/>
    </row>
    <row r="237" spans="1:14" ht="7.5" customHeight="1" x14ac:dyDescent="0.25"/>
    <row r="238" spans="1:14" x14ac:dyDescent="0.25">
      <c r="A238" s="175" t="s">
        <v>179</v>
      </c>
      <c r="B238" s="175"/>
      <c r="C238" s="175"/>
      <c r="D238" s="175"/>
      <c r="E238" s="175"/>
      <c r="F238" s="175"/>
      <c r="G238" s="175"/>
      <c r="H238" s="175"/>
      <c r="I238" s="175"/>
      <c r="J238" s="175"/>
      <c r="K238" s="175"/>
      <c r="L238" s="175"/>
      <c r="M238" s="175"/>
      <c r="N238" s="175"/>
    </row>
    <row r="239" spans="1:14" ht="36" x14ac:dyDescent="0.25">
      <c r="A239" s="53" t="s">
        <v>0</v>
      </c>
      <c r="B239" s="54" t="s">
        <v>1</v>
      </c>
      <c r="C239" s="54" t="s">
        <v>3</v>
      </c>
      <c r="D239" s="178" t="s">
        <v>171</v>
      </c>
      <c r="E239" s="178"/>
      <c r="F239" s="54" t="s">
        <v>166</v>
      </c>
      <c r="G239" s="54" t="s">
        <v>170</v>
      </c>
      <c r="H239" s="54" t="s">
        <v>167</v>
      </c>
      <c r="I239" s="54" t="s">
        <v>4</v>
      </c>
      <c r="J239" s="54" t="s">
        <v>5</v>
      </c>
      <c r="K239" s="54" t="s">
        <v>2</v>
      </c>
      <c r="L239" s="54" t="s">
        <v>172</v>
      </c>
      <c r="M239" s="54" t="s">
        <v>173</v>
      </c>
      <c r="N239" s="54" t="s">
        <v>169</v>
      </c>
    </row>
    <row r="240" spans="1:14" ht="107.25" customHeight="1" x14ac:dyDescent="0.25">
      <c r="A240" s="1">
        <v>1</v>
      </c>
      <c r="B240" s="4" t="s">
        <v>58</v>
      </c>
      <c r="C240" s="1" t="s">
        <v>35</v>
      </c>
      <c r="D240" s="179" t="s">
        <v>1054</v>
      </c>
      <c r="E240" s="180"/>
      <c r="F240" s="1" t="s">
        <v>69</v>
      </c>
      <c r="G240" s="1" t="s">
        <v>1001</v>
      </c>
      <c r="H240" s="1" t="s">
        <v>15</v>
      </c>
      <c r="I240" s="15">
        <v>41843</v>
      </c>
      <c r="J240" s="1" t="s">
        <v>59</v>
      </c>
      <c r="K240" s="8">
        <v>3736464.67</v>
      </c>
      <c r="L240" s="8">
        <f>K240*0.25</f>
        <v>934116.16749999998</v>
      </c>
      <c r="M240" s="8">
        <f>K240+L240</f>
        <v>4670580.8375000004</v>
      </c>
      <c r="N240" s="176"/>
    </row>
    <row r="241" spans="1:14" ht="15" customHeight="1" x14ac:dyDescent="0.25">
      <c r="A241" s="177" t="s">
        <v>1012</v>
      </c>
      <c r="B241" s="177"/>
      <c r="C241" s="177"/>
      <c r="D241" s="177"/>
      <c r="E241" s="177"/>
      <c r="F241" s="177"/>
      <c r="G241" s="177"/>
      <c r="H241" s="177"/>
      <c r="I241" s="177"/>
      <c r="J241" s="177"/>
      <c r="K241" s="177"/>
      <c r="L241" s="177"/>
      <c r="M241" s="8">
        <v>101917.5</v>
      </c>
      <c r="N241" s="176"/>
    </row>
    <row r="242" spans="1:14" ht="7.5" customHeight="1" x14ac:dyDescent="0.25">
      <c r="L242" s="47"/>
    </row>
    <row r="243" spans="1:14" ht="15" customHeight="1" x14ac:dyDescent="0.25">
      <c r="A243" s="175" t="s">
        <v>12</v>
      </c>
      <c r="B243" s="175"/>
      <c r="C243" s="175"/>
      <c r="D243" s="175"/>
      <c r="E243" s="175"/>
      <c r="F243" s="175"/>
      <c r="G243" s="175"/>
      <c r="H243" s="175"/>
      <c r="I243" s="175"/>
      <c r="J243" s="175"/>
      <c r="K243" s="49"/>
      <c r="L243" s="49"/>
    </row>
    <row r="244" spans="1:14" ht="48" customHeight="1" x14ac:dyDescent="0.25">
      <c r="A244" s="2" t="s">
        <v>0</v>
      </c>
      <c r="B244" s="3" t="s">
        <v>7</v>
      </c>
      <c r="C244" s="3" t="s">
        <v>6</v>
      </c>
      <c r="D244" s="3" t="s">
        <v>8</v>
      </c>
      <c r="E244" s="3" t="s">
        <v>168</v>
      </c>
      <c r="F244" s="3" t="s">
        <v>174</v>
      </c>
      <c r="G244" s="3" t="s">
        <v>175</v>
      </c>
      <c r="H244" s="3" t="s">
        <v>9</v>
      </c>
      <c r="I244" s="3" t="s">
        <v>176</v>
      </c>
      <c r="J244" s="3" t="s">
        <v>10</v>
      </c>
      <c r="K244" s="48"/>
      <c r="L244" s="48"/>
      <c r="M244" s="48"/>
    </row>
    <row r="245" spans="1:14" ht="24" x14ac:dyDescent="0.25">
      <c r="A245" s="1">
        <v>1</v>
      </c>
      <c r="B245" s="60" t="s">
        <v>205</v>
      </c>
      <c r="C245" s="10" t="str">
        <f>"MRMS-G5-2015"</f>
        <v>MRMS-G5-2015</v>
      </c>
      <c r="D245" s="56">
        <v>42117</v>
      </c>
      <c r="E245" s="59"/>
      <c r="F245" s="8">
        <v>1396</v>
      </c>
      <c r="G245" s="8">
        <v>1745</v>
      </c>
      <c r="H245" s="56">
        <v>42369</v>
      </c>
      <c r="I245" s="24">
        <v>1745</v>
      </c>
      <c r="J245" s="70"/>
    </row>
    <row r="246" spans="1:14" ht="24" x14ac:dyDescent="0.25">
      <c r="A246" s="1">
        <v>2</v>
      </c>
      <c r="B246" s="60" t="s">
        <v>18</v>
      </c>
      <c r="C246" s="10" t="str">
        <f>"SNUG-201-17-1032"</f>
        <v>SNUG-201-17-1032</v>
      </c>
      <c r="D246" s="56">
        <v>43068</v>
      </c>
      <c r="E246" s="56">
        <v>43100</v>
      </c>
      <c r="F246" s="8">
        <v>18560</v>
      </c>
      <c r="G246" s="8">
        <v>23200</v>
      </c>
      <c r="H246" s="56">
        <v>43100</v>
      </c>
      <c r="I246" s="24">
        <v>13145</v>
      </c>
      <c r="J246" s="70"/>
    </row>
    <row r="247" spans="1:14" ht="24" x14ac:dyDescent="0.25">
      <c r="A247" s="1">
        <v>3</v>
      </c>
      <c r="B247" s="60" t="s">
        <v>18</v>
      </c>
      <c r="C247" s="10" t="str">
        <f>"SNUG-201-17-1028"</f>
        <v>SNUG-201-17-1028</v>
      </c>
      <c r="D247" s="56">
        <v>43068</v>
      </c>
      <c r="E247" s="56">
        <v>43100</v>
      </c>
      <c r="F247" s="8">
        <v>5685</v>
      </c>
      <c r="G247" s="8">
        <v>7106.25</v>
      </c>
      <c r="H247" s="56">
        <v>43100</v>
      </c>
      <c r="I247" s="24">
        <v>0</v>
      </c>
      <c r="J247" s="70"/>
    </row>
    <row r="248" spans="1:14" x14ac:dyDescent="0.25">
      <c r="A248" s="1">
        <v>4</v>
      </c>
      <c r="B248" s="60" t="s">
        <v>278</v>
      </c>
      <c r="C248" s="10" t="str">
        <f>"198/2017"</f>
        <v>198/2017</v>
      </c>
      <c r="D248" s="56">
        <v>43038</v>
      </c>
      <c r="E248" s="56">
        <v>43174</v>
      </c>
      <c r="F248" s="8">
        <v>6200</v>
      </c>
      <c r="G248" s="8">
        <v>7750</v>
      </c>
      <c r="H248" s="56">
        <v>43100</v>
      </c>
      <c r="I248" s="24">
        <v>7150</v>
      </c>
      <c r="J248" s="70"/>
    </row>
    <row r="249" spans="1:14" ht="24" x14ac:dyDescent="0.25">
      <c r="A249" s="1">
        <v>5</v>
      </c>
      <c r="B249" s="60" t="s">
        <v>193</v>
      </c>
      <c r="C249" s="10" t="str">
        <f>"64-61-14-5-4"</f>
        <v>64-61-14-5-4</v>
      </c>
      <c r="D249" s="56">
        <v>43033</v>
      </c>
      <c r="E249" s="56">
        <v>43398</v>
      </c>
      <c r="F249" s="8">
        <v>9948</v>
      </c>
      <c r="G249" s="8">
        <v>12435</v>
      </c>
      <c r="H249" s="56">
        <v>43100</v>
      </c>
      <c r="I249" s="24">
        <v>0</v>
      </c>
      <c r="J249" s="70"/>
    </row>
    <row r="250" spans="1:14" ht="24" x14ac:dyDescent="0.25">
      <c r="A250" s="1">
        <v>6</v>
      </c>
      <c r="B250" s="60" t="s">
        <v>187</v>
      </c>
      <c r="C250" s="10" t="str">
        <f>"13/2013-5-U3"</f>
        <v>13/2013-5-U3</v>
      </c>
      <c r="D250" s="56">
        <v>42895</v>
      </c>
      <c r="E250" s="56">
        <v>43304</v>
      </c>
      <c r="F250" s="8">
        <v>2600</v>
      </c>
      <c r="G250" s="8">
        <v>3250</v>
      </c>
      <c r="H250" s="56">
        <v>42916</v>
      </c>
      <c r="I250" s="24">
        <v>0</v>
      </c>
      <c r="J250" s="70"/>
    </row>
    <row r="251" spans="1:14" ht="24" x14ac:dyDescent="0.25">
      <c r="A251" s="1">
        <v>7</v>
      </c>
      <c r="B251" s="60" t="s">
        <v>196</v>
      </c>
      <c r="C251" s="10" t="str">
        <f>"MGPU 13/2013-5_2"</f>
        <v>MGPU 13/2013-5_2</v>
      </c>
      <c r="D251" s="56">
        <v>42887</v>
      </c>
      <c r="E251" s="56">
        <v>43100</v>
      </c>
      <c r="F251" s="8">
        <v>1680</v>
      </c>
      <c r="G251" s="8">
        <v>2100</v>
      </c>
      <c r="H251" s="56">
        <v>43100</v>
      </c>
      <c r="I251" s="24">
        <v>600</v>
      </c>
      <c r="J251" s="70"/>
    </row>
    <row r="252" spans="1:14" ht="24" x14ac:dyDescent="0.25">
      <c r="A252" s="1">
        <v>8</v>
      </c>
      <c r="B252" s="60" t="s">
        <v>18</v>
      </c>
      <c r="C252" s="10" t="str">
        <f>"SNUG-201-17-0357"</f>
        <v>SNUG-201-17-0357</v>
      </c>
      <c r="D252" s="56">
        <v>42878</v>
      </c>
      <c r="E252" s="56">
        <v>43100</v>
      </c>
      <c r="F252" s="8">
        <v>28422.86</v>
      </c>
      <c r="G252" s="8">
        <v>35528.58</v>
      </c>
      <c r="H252" s="56">
        <v>43100</v>
      </c>
      <c r="I252" s="24">
        <v>71087.5</v>
      </c>
      <c r="J252" s="70"/>
      <c r="K252" s="48"/>
    </row>
    <row r="253" spans="1:14" ht="24" x14ac:dyDescent="0.25">
      <c r="A253" s="1">
        <v>9</v>
      </c>
      <c r="B253" s="60" t="s">
        <v>18</v>
      </c>
      <c r="C253" s="10" t="str">
        <f>"SNUG-201-17-0366"</f>
        <v>SNUG-201-17-0366</v>
      </c>
      <c r="D253" s="56">
        <v>42878</v>
      </c>
      <c r="E253" s="56">
        <v>43100</v>
      </c>
      <c r="F253" s="8">
        <v>2201.2800000000002</v>
      </c>
      <c r="G253" s="8">
        <v>2751.6</v>
      </c>
      <c r="H253" s="56">
        <v>43100</v>
      </c>
      <c r="I253" s="24">
        <v>0</v>
      </c>
      <c r="J253" s="70"/>
    </row>
    <row r="254" spans="1:14" ht="24" x14ac:dyDescent="0.25">
      <c r="A254" s="1">
        <v>10</v>
      </c>
      <c r="B254" s="60" t="s">
        <v>205</v>
      </c>
      <c r="C254" s="10" t="str">
        <f>"MRMS-G5-2017"</f>
        <v>MRMS-G5-2017</v>
      </c>
      <c r="D254" s="56">
        <v>42858</v>
      </c>
      <c r="E254" s="56">
        <v>43100</v>
      </c>
      <c r="F254" s="8">
        <v>1000</v>
      </c>
      <c r="G254" s="8">
        <v>1250</v>
      </c>
      <c r="H254" s="56">
        <v>42916</v>
      </c>
      <c r="I254" s="24">
        <v>450</v>
      </c>
      <c r="J254" s="70"/>
    </row>
    <row r="255" spans="1:14" x14ac:dyDescent="0.25">
      <c r="A255" s="1">
        <v>11</v>
      </c>
      <c r="B255" s="60" t="s">
        <v>278</v>
      </c>
      <c r="C255" s="10" t="str">
        <f>"73/2017"</f>
        <v>73/2017</v>
      </c>
      <c r="D255" s="56">
        <v>42831</v>
      </c>
      <c r="E255" s="56">
        <v>43039</v>
      </c>
      <c r="F255" s="8">
        <v>2440</v>
      </c>
      <c r="G255" s="8">
        <v>3050</v>
      </c>
      <c r="H255" s="56">
        <v>43039</v>
      </c>
      <c r="I255" s="24">
        <v>600</v>
      </c>
      <c r="J255" s="70"/>
    </row>
    <row r="256" spans="1:14" ht="24" x14ac:dyDescent="0.25">
      <c r="A256" s="1">
        <v>12</v>
      </c>
      <c r="B256" s="60" t="s">
        <v>193</v>
      </c>
      <c r="C256" s="10" t="str">
        <f>"64-61-14-5-3"</f>
        <v>64-61-14-5-3</v>
      </c>
      <c r="D256" s="56">
        <v>42667</v>
      </c>
      <c r="E256" s="56">
        <v>43032</v>
      </c>
      <c r="F256" s="8">
        <v>12072</v>
      </c>
      <c r="G256" s="8">
        <v>15090</v>
      </c>
      <c r="H256" s="56">
        <v>43100</v>
      </c>
      <c r="I256" s="24">
        <v>2550</v>
      </c>
      <c r="J256" s="70"/>
    </row>
    <row r="257" spans="1:14" x14ac:dyDescent="0.25">
      <c r="A257" s="1">
        <v>13</v>
      </c>
      <c r="B257" s="60" t="s">
        <v>210</v>
      </c>
      <c r="C257" s="10" t="str">
        <f>"PU-G5-2016"</f>
        <v>PU-G5-2016</v>
      </c>
      <c r="D257" s="56">
        <v>42500</v>
      </c>
      <c r="E257" s="56">
        <v>42865</v>
      </c>
      <c r="F257" s="8">
        <v>3332</v>
      </c>
      <c r="G257" s="8">
        <v>4165</v>
      </c>
      <c r="H257" s="56">
        <v>42865</v>
      </c>
      <c r="I257" s="61">
        <v>2790</v>
      </c>
      <c r="J257" s="76"/>
    </row>
    <row r="258" spans="1:14" ht="24" x14ac:dyDescent="0.25">
      <c r="A258" s="1">
        <v>14</v>
      </c>
      <c r="B258" s="60" t="s">
        <v>187</v>
      </c>
      <c r="C258" s="10" t="str">
        <f>"802/01-16/04OS-5-U1"</f>
        <v>802/01-16/04OS-5-U1</v>
      </c>
      <c r="D258" s="56">
        <v>42493</v>
      </c>
      <c r="E258" s="56">
        <v>42858</v>
      </c>
      <c r="F258" s="8">
        <v>2292</v>
      </c>
      <c r="G258" s="8">
        <v>2865</v>
      </c>
      <c r="H258" s="56">
        <v>42916</v>
      </c>
      <c r="I258" s="37">
        <v>1800</v>
      </c>
      <c r="J258" s="71"/>
    </row>
    <row r="259" spans="1:14" ht="7.5" customHeight="1" x14ac:dyDescent="0.25"/>
    <row r="260" spans="1:14" x14ac:dyDescent="0.25">
      <c r="A260" s="175" t="s">
        <v>179</v>
      </c>
      <c r="B260" s="175"/>
      <c r="C260" s="175"/>
      <c r="D260" s="175"/>
      <c r="E260" s="175"/>
      <c r="F260" s="175"/>
      <c r="G260" s="175"/>
      <c r="H260" s="175"/>
      <c r="I260" s="175"/>
      <c r="J260" s="175"/>
      <c r="K260" s="175"/>
      <c r="L260" s="175"/>
      <c r="M260" s="175"/>
      <c r="N260" s="175"/>
    </row>
    <row r="261" spans="1:14" ht="36" x14ac:dyDescent="0.25">
      <c r="A261" s="53" t="s">
        <v>0</v>
      </c>
      <c r="B261" s="54" t="s">
        <v>1</v>
      </c>
      <c r="C261" s="54" t="s">
        <v>3</v>
      </c>
      <c r="D261" s="178" t="s">
        <v>171</v>
      </c>
      <c r="E261" s="178"/>
      <c r="F261" s="54" t="s">
        <v>166</v>
      </c>
      <c r="G261" s="54" t="s">
        <v>170</v>
      </c>
      <c r="H261" s="54" t="s">
        <v>167</v>
      </c>
      <c r="I261" s="54" t="s">
        <v>4</v>
      </c>
      <c r="J261" s="54" t="s">
        <v>5</v>
      </c>
      <c r="K261" s="54" t="s">
        <v>2</v>
      </c>
      <c r="L261" s="54" t="s">
        <v>172</v>
      </c>
      <c r="M261" s="54" t="s">
        <v>173</v>
      </c>
      <c r="N261" s="54" t="s">
        <v>169</v>
      </c>
    </row>
    <row r="262" spans="1:14" ht="97.5" customHeight="1" x14ac:dyDescent="0.25">
      <c r="A262" s="1">
        <v>1</v>
      </c>
      <c r="B262" s="4" t="s">
        <v>58</v>
      </c>
      <c r="C262" s="1" t="s">
        <v>36</v>
      </c>
      <c r="D262" s="179" t="s">
        <v>1055</v>
      </c>
      <c r="E262" s="180"/>
      <c r="F262" s="1" t="s">
        <v>69</v>
      </c>
      <c r="G262" s="1" t="s">
        <v>1001</v>
      </c>
      <c r="H262" s="1" t="s">
        <v>15</v>
      </c>
      <c r="I262" s="15">
        <v>41837</v>
      </c>
      <c r="J262" s="1" t="s">
        <v>59</v>
      </c>
      <c r="K262" s="8">
        <v>2725173.33</v>
      </c>
      <c r="L262" s="8">
        <f>K262*0.25</f>
        <v>681293.33250000002</v>
      </c>
      <c r="M262" s="8">
        <f>K262+L262</f>
        <v>3406466.6625000001</v>
      </c>
      <c r="N262" s="176"/>
    </row>
    <row r="263" spans="1:14" ht="15" customHeight="1" x14ac:dyDescent="0.25">
      <c r="A263" s="177" t="s">
        <v>1012</v>
      </c>
      <c r="B263" s="177"/>
      <c r="C263" s="177"/>
      <c r="D263" s="177"/>
      <c r="E263" s="177"/>
      <c r="F263" s="177"/>
      <c r="G263" s="177"/>
      <c r="H263" s="177"/>
      <c r="I263" s="177"/>
      <c r="J263" s="177"/>
      <c r="K263" s="177"/>
      <c r="L263" s="177"/>
      <c r="M263" s="8">
        <v>89027.5</v>
      </c>
      <c r="N263" s="176"/>
    </row>
    <row r="264" spans="1:14" ht="7.5" customHeight="1" x14ac:dyDescent="0.25">
      <c r="L264" s="47"/>
    </row>
    <row r="265" spans="1:14" ht="15" customHeight="1" x14ac:dyDescent="0.25">
      <c r="A265" s="175" t="s">
        <v>12</v>
      </c>
      <c r="B265" s="175"/>
      <c r="C265" s="175"/>
      <c r="D265" s="175"/>
      <c r="E265" s="175"/>
      <c r="F265" s="175"/>
      <c r="G265" s="175"/>
      <c r="H265" s="175"/>
      <c r="I265" s="175"/>
      <c r="J265" s="175"/>
      <c r="K265" s="49"/>
      <c r="L265" s="49"/>
    </row>
    <row r="266" spans="1:14" ht="48" customHeight="1" x14ac:dyDescent="0.25">
      <c r="A266" s="2" t="s">
        <v>0</v>
      </c>
      <c r="B266" s="3" t="s">
        <v>7</v>
      </c>
      <c r="C266" s="3" t="s">
        <v>6</v>
      </c>
      <c r="D266" s="3" t="s">
        <v>8</v>
      </c>
      <c r="E266" s="3" t="s">
        <v>168</v>
      </c>
      <c r="F266" s="3" t="s">
        <v>174</v>
      </c>
      <c r="G266" s="3" t="s">
        <v>175</v>
      </c>
      <c r="H266" s="3" t="s">
        <v>9</v>
      </c>
      <c r="I266" s="3" t="s">
        <v>176</v>
      </c>
      <c r="J266" s="3" t="s">
        <v>10</v>
      </c>
      <c r="K266" s="48"/>
      <c r="L266" s="48"/>
      <c r="M266" s="48"/>
    </row>
    <row r="267" spans="1:14" ht="24" x14ac:dyDescent="0.25">
      <c r="A267" s="1">
        <v>1</v>
      </c>
      <c r="B267" s="60" t="s">
        <v>205</v>
      </c>
      <c r="C267" s="10" t="str">
        <f>"MRMS-G6-2015"</f>
        <v>MRMS-G6-2015</v>
      </c>
      <c r="D267" s="56">
        <v>42117</v>
      </c>
      <c r="E267" s="59"/>
      <c r="F267" s="8">
        <v>6960</v>
      </c>
      <c r="G267" s="8">
        <v>8700</v>
      </c>
      <c r="H267" s="56">
        <v>42369</v>
      </c>
      <c r="I267" s="24">
        <v>8700</v>
      </c>
      <c r="J267" s="70"/>
    </row>
    <row r="268" spans="1:14" x14ac:dyDescent="0.25">
      <c r="A268" s="1">
        <v>2</v>
      </c>
      <c r="B268" s="60" t="s">
        <v>212</v>
      </c>
      <c r="C268" s="10" t="str">
        <f>"353/2015"</f>
        <v>353/2015</v>
      </c>
      <c r="D268" s="56">
        <v>42103</v>
      </c>
      <c r="E268" s="59"/>
      <c r="F268" s="8">
        <v>236</v>
      </c>
      <c r="G268" s="8">
        <v>295</v>
      </c>
      <c r="H268" s="56">
        <v>42103</v>
      </c>
      <c r="I268" s="24">
        <v>295</v>
      </c>
      <c r="J268" s="70"/>
    </row>
    <row r="269" spans="1:14" x14ac:dyDescent="0.25">
      <c r="A269" s="1">
        <v>3</v>
      </c>
      <c r="B269" s="60" t="s">
        <v>212</v>
      </c>
      <c r="C269" s="10" t="str">
        <f>"1145/2015"</f>
        <v>1145/2015</v>
      </c>
      <c r="D269" s="56">
        <v>42319</v>
      </c>
      <c r="E269" s="59"/>
      <c r="F269" s="8">
        <v>236</v>
      </c>
      <c r="G269" s="8">
        <v>295</v>
      </c>
      <c r="H269" s="56">
        <v>42319</v>
      </c>
      <c r="I269" s="24">
        <v>295</v>
      </c>
      <c r="J269" s="70"/>
    </row>
    <row r="270" spans="1:14" x14ac:dyDescent="0.25">
      <c r="A270" s="1">
        <v>4</v>
      </c>
      <c r="B270" s="60" t="s">
        <v>212</v>
      </c>
      <c r="C270" s="10" t="str">
        <f>"13/2013-6"</f>
        <v>13/2013-6</v>
      </c>
      <c r="D270" s="56">
        <v>42481</v>
      </c>
      <c r="E270" s="59"/>
      <c r="F270" s="8">
        <v>0</v>
      </c>
      <c r="G270" s="8">
        <v>0</v>
      </c>
      <c r="H270" s="56">
        <v>42916</v>
      </c>
      <c r="I270" s="24">
        <v>1027.5</v>
      </c>
      <c r="J270" s="70"/>
    </row>
    <row r="271" spans="1:14" ht="24" x14ac:dyDescent="0.25">
      <c r="A271" s="1">
        <v>5</v>
      </c>
      <c r="B271" s="60" t="s">
        <v>18</v>
      </c>
      <c r="C271" s="10" t="str">
        <f>"SNUG-201-17-1033"</f>
        <v>SNUG-201-17-1033</v>
      </c>
      <c r="D271" s="56">
        <v>43068</v>
      </c>
      <c r="E271" s="56">
        <v>43100</v>
      </c>
      <c r="F271" s="8">
        <v>11600</v>
      </c>
      <c r="G271" s="8">
        <v>14500</v>
      </c>
      <c r="H271" s="56">
        <v>43100</v>
      </c>
      <c r="I271" s="24">
        <v>0</v>
      </c>
      <c r="J271" s="70"/>
    </row>
    <row r="272" spans="1:14" x14ac:dyDescent="0.25">
      <c r="A272" s="1">
        <v>6</v>
      </c>
      <c r="B272" s="60" t="s">
        <v>278</v>
      </c>
      <c r="C272" s="10" t="str">
        <f>"199/2017"</f>
        <v>199/2017</v>
      </c>
      <c r="D272" s="56">
        <v>43038</v>
      </c>
      <c r="E272" s="56">
        <v>43174</v>
      </c>
      <c r="F272" s="8">
        <v>2680</v>
      </c>
      <c r="G272" s="8">
        <v>3350</v>
      </c>
      <c r="H272" s="56">
        <v>43100</v>
      </c>
      <c r="I272" s="24">
        <v>2425</v>
      </c>
      <c r="J272" s="70"/>
    </row>
    <row r="273" spans="1:14" ht="24" x14ac:dyDescent="0.25">
      <c r="A273" s="1">
        <v>7</v>
      </c>
      <c r="B273" s="60" t="s">
        <v>193</v>
      </c>
      <c r="C273" s="10" t="str">
        <f>"64-61-14-6-5"</f>
        <v>64-61-14-6-5</v>
      </c>
      <c r="D273" s="56">
        <v>43033</v>
      </c>
      <c r="E273" s="56">
        <v>43398</v>
      </c>
      <c r="F273" s="8">
        <v>17324</v>
      </c>
      <c r="G273" s="8">
        <v>21655</v>
      </c>
      <c r="H273" s="56">
        <v>43100</v>
      </c>
      <c r="I273" s="24">
        <v>7637.5</v>
      </c>
      <c r="J273" s="70"/>
    </row>
    <row r="274" spans="1:14" ht="24" x14ac:dyDescent="0.25">
      <c r="A274" s="1">
        <v>8</v>
      </c>
      <c r="B274" s="60" t="s">
        <v>187</v>
      </c>
      <c r="C274" s="10" t="str">
        <f>"13/2013-6-U3"</f>
        <v>13/2013-6-U3</v>
      </c>
      <c r="D274" s="56">
        <v>42895</v>
      </c>
      <c r="E274" s="56">
        <v>43298</v>
      </c>
      <c r="F274" s="8">
        <v>3980</v>
      </c>
      <c r="G274" s="8">
        <v>4975</v>
      </c>
      <c r="H274" s="56">
        <v>42916</v>
      </c>
      <c r="I274" s="24">
        <v>0</v>
      </c>
      <c r="J274" s="70"/>
      <c r="K274" s="48"/>
    </row>
    <row r="275" spans="1:14" ht="24" x14ac:dyDescent="0.25">
      <c r="A275" s="1">
        <v>9</v>
      </c>
      <c r="B275" s="60" t="s">
        <v>196</v>
      </c>
      <c r="C275" s="10" t="str">
        <f>"MGPU 13/2013-6_2"</f>
        <v>MGPU 13/2013-6_2</v>
      </c>
      <c r="D275" s="56">
        <v>42887</v>
      </c>
      <c r="E275" s="56">
        <v>43100</v>
      </c>
      <c r="F275" s="8">
        <v>8520</v>
      </c>
      <c r="G275" s="8">
        <v>10650</v>
      </c>
      <c r="H275" s="56">
        <v>43100</v>
      </c>
      <c r="I275" s="24">
        <v>1800</v>
      </c>
      <c r="J275" s="70"/>
    </row>
    <row r="276" spans="1:14" ht="24" x14ac:dyDescent="0.25">
      <c r="A276" s="1">
        <v>10</v>
      </c>
      <c r="B276" s="60" t="s">
        <v>18</v>
      </c>
      <c r="C276" s="10" t="str">
        <f>"SNUG-201-17-0358"</f>
        <v>SNUG-201-17-0358</v>
      </c>
      <c r="D276" s="56">
        <v>42878</v>
      </c>
      <c r="E276" s="56">
        <v>43100</v>
      </c>
      <c r="F276" s="8">
        <v>15035.18</v>
      </c>
      <c r="G276" s="8">
        <v>18793.98</v>
      </c>
      <c r="H276" s="56">
        <v>43100</v>
      </c>
      <c r="I276" s="24">
        <v>26850</v>
      </c>
      <c r="J276" s="70"/>
    </row>
    <row r="277" spans="1:14" ht="24" x14ac:dyDescent="0.25">
      <c r="A277" s="1">
        <v>11</v>
      </c>
      <c r="B277" s="60" t="s">
        <v>18</v>
      </c>
      <c r="C277" s="10" t="str">
        <f>"SNUG-201-17-0359"</f>
        <v>SNUG-201-17-0359</v>
      </c>
      <c r="D277" s="56">
        <v>42878</v>
      </c>
      <c r="E277" s="56">
        <v>43100</v>
      </c>
      <c r="F277" s="8">
        <v>1522.9</v>
      </c>
      <c r="G277" s="8">
        <v>1903.63</v>
      </c>
      <c r="H277" s="56">
        <v>43100</v>
      </c>
      <c r="I277" s="24">
        <v>5325</v>
      </c>
      <c r="J277" s="70"/>
    </row>
    <row r="278" spans="1:14" ht="24" x14ac:dyDescent="0.25">
      <c r="A278" s="1">
        <v>12</v>
      </c>
      <c r="B278" s="60" t="s">
        <v>205</v>
      </c>
      <c r="C278" s="10" t="str">
        <f>"MRMS-G6-2017"</f>
        <v>MRMS-G6-2017</v>
      </c>
      <c r="D278" s="56">
        <v>42858</v>
      </c>
      <c r="E278" s="56">
        <v>43100</v>
      </c>
      <c r="F278" s="8">
        <v>10000</v>
      </c>
      <c r="G278" s="8">
        <v>12500</v>
      </c>
      <c r="H278" s="56">
        <v>42916</v>
      </c>
      <c r="I278" s="24">
        <v>6800</v>
      </c>
      <c r="J278" s="70"/>
    </row>
    <row r="279" spans="1:14" x14ac:dyDescent="0.25">
      <c r="A279" s="1">
        <v>13</v>
      </c>
      <c r="B279" s="60" t="s">
        <v>278</v>
      </c>
      <c r="C279" s="10" t="str">
        <f>"74/2017"</f>
        <v>74/2017</v>
      </c>
      <c r="D279" s="56">
        <v>42831</v>
      </c>
      <c r="E279" s="56">
        <v>43039</v>
      </c>
      <c r="F279" s="8">
        <v>3560</v>
      </c>
      <c r="G279" s="8">
        <v>4450</v>
      </c>
      <c r="H279" s="56">
        <v>43039</v>
      </c>
      <c r="I279" s="24">
        <v>5200</v>
      </c>
      <c r="J279" s="70"/>
    </row>
    <row r="280" spans="1:14" ht="24" x14ac:dyDescent="0.25">
      <c r="A280" s="1">
        <v>14</v>
      </c>
      <c r="B280" s="60" t="s">
        <v>206</v>
      </c>
      <c r="C280" s="10" t="str">
        <f>"GUME GRUPA 6 RI"</f>
        <v>GUME GRUPA 6 RI</v>
      </c>
      <c r="D280" s="56">
        <v>42753</v>
      </c>
      <c r="E280" s="56">
        <v>43100</v>
      </c>
      <c r="F280" s="8">
        <v>5216</v>
      </c>
      <c r="G280" s="8">
        <v>6520</v>
      </c>
      <c r="H280" s="56">
        <v>43100</v>
      </c>
      <c r="I280" s="24">
        <v>792.5</v>
      </c>
      <c r="J280" s="70"/>
    </row>
    <row r="281" spans="1:14" x14ac:dyDescent="0.25">
      <c r="A281" s="1">
        <v>15</v>
      </c>
      <c r="B281" s="60" t="s">
        <v>185</v>
      </c>
      <c r="C281" s="10" t="str">
        <f>"13/2013-6"</f>
        <v>13/2013-6</v>
      </c>
      <c r="D281" s="56">
        <v>42698</v>
      </c>
      <c r="E281" s="56">
        <v>43100</v>
      </c>
      <c r="F281" s="8">
        <v>1570</v>
      </c>
      <c r="G281" s="8">
        <v>1962.5</v>
      </c>
      <c r="H281" s="56">
        <v>43100</v>
      </c>
      <c r="I281" s="24">
        <v>400</v>
      </c>
      <c r="J281" s="70"/>
    </row>
    <row r="282" spans="1:14" ht="24" x14ac:dyDescent="0.25">
      <c r="A282" s="1">
        <v>16</v>
      </c>
      <c r="B282" s="60" t="s">
        <v>193</v>
      </c>
      <c r="C282" s="10" t="str">
        <f>"64-61-14-6-4"</f>
        <v>64-61-14-6-4</v>
      </c>
      <c r="D282" s="56">
        <v>42667</v>
      </c>
      <c r="E282" s="56">
        <v>43032</v>
      </c>
      <c r="F282" s="8">
        <v>26008</v>
      </c>
      <c r="G282" s="8">
        <v>32510</v>
      </c>
      <c r="H282" s="56">
        <v>43100</v>
      </c>
      <c r="I282" s="24">
        <v>14670</v>
      </c>
      <c r="J282" s="70"/>
      <c r="K282" s="48"/>
    </row>
    <row r="283" spans="1:14" x14ac:dyDescent="0.25">
      <c r="A283" s="1">
        <v>17</v>
      </c>
      <c r="B283" s="60" t="s">
        <v>278</v>
      </c>
      <c r="C283" s="10" t="str">
        <f>"128/2016"</f>
        <v>128/2016</v>
      </c>
      <c r="D283" s="56">
        <v>42647</v>
      </c>
      <c r="E283" s="56">
        <v>42840</v>
      </c>
      <c r="F283" s="8">
        <v>1472</v>
      </c>
      <c r="G283" s="8">
        <v>1840</v>
      </c>
      <c r="H283" s="56">
        <v>42840</v>
      </c>
      <c r="I283" s="24">
        <v>2015</v>
      </c>
      <c r="J283" s="70"/>
    </row>
    <row r="284" spans="1:14" x14ac:dyDescent="0.25">
      <c r="A284" s="1">
        <v>18</v>
      </c>
      <c r="B284" s="60" t="s">
        <v>210</v>
      </c>
      <c r="C284" s="10" t="str">
        <f>"PU-G6-2016"</f>
        <v>PU-G6-2016</v>
      </c>
      <c r="D284" s="56">
        <v>42500</v>
      </c>
      <c r="E284" s="56">
        <v>42865</v>
      </c>
      <c r="F284" s="8">
        <v>8640</v>
      </c>
      <c r="G284" s="8">
        <v>10800</v>
      </c>
      <c r="H284" s="56">
        <v>42865</v>
      </c>
      <c r="I284" s="24">
        <v>2195</v>
      </c>
      <c r="J284" s="70"/>
    </row>
    <row r="285" spans="1:14" ht="24" x14ac:dyDescent="0.25">
      <c r="A285" s="1">
        <v>19</v>
      </c>
      <c r="B285" s="60" t="s">
        <v>187</v>
      </c>
      <c r="C285" s="10" t="str">
        <f>"802/01-16/04OS-6-U1"</f>
        <v>802/01-16/04OS-6-U1</v>
      </c>
      <c r="D285" s="56">
        <v>42493</v>
      </c>
      <c r="E285" s="56">
        <v>42858</v>
      </c>
      <c r="F285" s="8">
        <v>4584</v>
      </c>
      <c r="G285" s="8">
        <v>5730</v>
      </c>
      <c r="H285" s="56">
        <v>42916</v>
      </c>
      <c r="I285" s="24">
        <v>2600</v>
      </c>
      <c r="J285" s="70"/>
    </row>
    <row r="286" spans="1:14" ht="7.5" customHeight="1" x14ac:dyDescent="0.25"/>
    <row r="287" spans="1:14" x14ac:dyDescent="0.25">
      <c r="A287" s="175" t="s">
        <v>179</v>
      </c>
      <c r="B287" s="175"/>
      <c r="C287" s="175"/>
      <c r="D287" s="175"/>
      <c r="E287" s="175"/>
      <c r="F287" s="175"/>
      <c r="G287" s="175"/>
      <c r="H287" s="175"/>
      <c r="I287" s="175"/>
      <c r="J287" s="175"/>
      <c r="K287" s="175"/>
      <c r="L287" s="175"/>
      <c r="M287" s="175"/>
      <c r="N287" s="175"/>
    </row>
    <row r="288" spans="1:14" ht="36" x14ac:dyDescent="0.25">
      <c r="A288" s="53" t="s">
        <v>0</v>
      </c>
      <c r="B288" s="54" t="s">
        <v>1</v>
      </c>
      <c r="C288" s="54" t="s">
        <v>3</v>
      </c>
      <c r="D288" s="178" t="s">
        <v>171</v>
      </c>
      <c r="E288" s="178"/>
      <c r="F288" s="54" t="s">
        <v>166</v>
      </c>
      <c r="G288" s="54" t="s">
        <v>170</v>
      </c>
      <c r="H288" s="54" t="s">
        <v>167</v>
      </c>
      <c r="I288" s="54" t="s">
        <v>4</v>
      </c>
      <c r="J288" s="54" t="s">
        <v>5</v>
      </c>
      <c r="K288" s="54" t="s">
        <v>2</v>
      </c>
      <c r="L288" s="54" t="s">
        <v>172</v>
      </c>
      <c r="M288" s="54" t="s">
        <v>173</v>
      </c>
      <c r="N288" s="54" t="s">
        <v>169</v>
      </c>
    </row>
    <row r="289" spans="1:14" ht="106.5" customHeight="1" x14ac:dyDescent="0.25">
      <c r="A289" s="1">
        <v>1</v>
      </c>
      <c r="B289" s="4" t="s">
        <v>58</v>
      </c>
      <c r="C289" s="1" t="s">
        <v>37</v>
      </c>
      <c r="D289" s="189" t="s">
        <v>1054</v>
      </c>
      <c r="E289" s="189"/>
      <c r="F289" s="1" t="s">
        <v>69</v>
      </c>
      <c r="G289" s="1" t="s">
        <v>1001</v>
      </c>
      <c r="H289" s="1" t="s">
        <v>15</v>
      </c>
      <c r="I289" s="15">
        <v>41843</v>
      </c>
      <c r="J289" s="1" t="s">
        <v>59</v>
      </c>
      <c r="K289" s="123">
        <v>2397829.33</v>
      </c>
      <c r="L289" s="123">
        <f>K289*0.25</f>
        <v>599457.33250000002</v>
      </c>
      <c r="M289" s="123">
        <f>K289+L289</f>
        <v>2997286.6625000001</v>
      </c>
      <c r="N289" s="176"/>
    </row>
    <row r="290" spans="1:14" ht="15" customHeight="1" x14ac:dyDescent="0.25">
      <c r="A290" s="177" t="s">
        <v>1012</v>
      </c>
      <c r="B290" s="177"/>
      <c r="C290" s="177"/>
      <c r="D290" s="177"/>
      <c r="E290" s="177"/>
      <c r="F290" s="177"/>
      <c r="G290" s="177"/>
      <c r="H290" s="177"/>
      <c r="I290" s="177"/>
      <c r="J290" s="177"/>
      <c r="K290" s="177"/>
      <c r="L290" s="177"/>
      <c r="M290" s="123">
        <v>101630</v>
      </c>
      <c r="N290" s="176"/>
    </row>
    <row r="291" spans="1:14" ht="7.5" customHeight="1" x14ac:dyDescent="0.25">
      <c r="L291" s="47"/>
    </row>
    <row r="292" spans="1:14" ht="15" customHeight="1" x14ac:dyDescent="0.25">
      <c r="A292" s="175" t="s">
        <v>12</v>
      </c>
      <c r="B292" s="175"/>
      <c r="C292" s="175"/>
      <c r="D292" s="175"/>
      <c r="E292" s="175"/>
      <c r="F292" s="175"/>
      <c r="G292" s="175"/>
      <c r="H292" s="175"/>
      <c r="I292" s="175"/>
      <c r="J292" s="175"/>
      <c r="K292" s="49"/>
      <c r="L292" s="49"/>
    </row>
    <row r="293" spans="1:14" ht="48" customHeight="1" x14ac:dyDescent="0.25">
      <c r="A293" s="2" t="s">
        <v>0</v>
      </c>
      <c r="B293" s="3" t="s">
        <v>7</v>
      </c>
      <c r="C293" s="3" t="s">
        <v>6</v>
      </c>
      <c r="D293" s="3" t="s">
        <v>8</v>
      </c>
      <c r="E293" s="3" t="s">
        <v>168</v>
      </c>
      <c r="F293" s="3" t="s">
        <v>174</v>
      </c>
      <c r="G293" s="3" t="s">
        <v>175</v>
      </c>
      <c r="H293" s="3" t="s">
        <v>9</v>
      </c>
      <c r="I293" s="3" t="s">
        <v>176</v>
      </c>
      <c r="J293" s="3" t="s">
        <v>10</v>
      </c>
      <c r="K293" s="48"/>
      <c r="L293" s="48"/>
      <c r="M293" s="48"/>
    </row>
    <row r="294" spans="1:14" ht="24" x14ac:dyDescent="0.25">
      <c r="A294" s="38">
        <v>1</v>
      </c>
      <c r="B294" s="60" t="s">
        <v>205</v>
      </c>
      <c r="C294" s="10" t="str">
        <f>"MRMS-G7-2015"</f>
        <v>MRMS-G7-2015</v>
      </c>
      <c r="D294" s="56">
        <v>42117</v>
      </c>
      <c r="E294" s="59"/>
      <c r="F294" s="8">
        <v>1200</v>
      </c>
      <c r="G294" s="8">
        <v>1500</v>
      </c>
      <c r="H294" s="56">
        <v>42369</v>
      </c>
      <c r="I294" s="24">
        <v>1500</v>
      </c>
      <c r="J294" s="77"/>
    </row>
    <row r="295" spans="1:14" x14ac:dyDescent="0.25">
      <c r="A295" s="115">
        <v>2</v>
      </c>
      <c r="B295" s="60" t="s">
        <v>212</v>
      </c>
      <c r="C295" s="10" t="str">
        <f>"P"</f>
        <v>P</v>
      </c>
      <c r="D295" s="56">
        <v>42137</v>
      </c>
      <c r="E295" s="59"/>
      <c r="F295" s="8">
        <v>208</v>
      </c>
      <c r="G295" s="8">
        <v>260</v>
      </c>
      <c r="H295" s="56">
        <v>42137</v>
      </c>
      <c r="I295" s="24">
        <v>260</v>
      </c>
      <c r="J295" s="77"/>
    </row>
    <row r="296" spans="1:14" x14ac:dyDescent="0.25">
      <c r="A296" s="115">
        <v>3</v>
      </c>
      <c r="B296" s="60" t="s">
        <v>212</v>
      </c>
      <c r="C296" s="10" t="str">
        <f>"1144/2015"</f>
        <v>1144/2015</v>
      </c>
      <c r="D296" s="56">
        <v>42419</v>
      </c>
      <c r="E296" s="59"/>
      <c r="F296" s="8">
        <v>236</v>
      </c>
      <c r="G296" s="8">
        <v>295</v>
      </c>
      <c r="H296" s="162"/>
      <c r="I296" s="167">
        <v>0</v>
      </c>
      <c r="J296" s="77"/>
    </row>
    <row r="297" spans="1:14" ht="24" x14ac:dyDescent="0.25">
      <c r="A297" s="115">
        <v>4</v>
      </c>
      <c r="B297" s="60" t="s">
        <v>18</v>
      </c>
      <c r="C297" s="10" t="str">
        <f>"SNUG-201-17-1034"</f>
        <v>SNUG-201-17-1034</v>
      </c>
      <c r="D297" s="56">
        <v>43068</v>
      </c>
      <c r="E297" s="56">
        <v>43100</v>
      </c>
      <c r="F297" s="8">
        <v>18800</v>
      </c>
      <c r="G297" s="8">
        <v>23500</v>
      </c>
      <c r="H297" s="56">
        <v>43100</v>
      </c>
      <c r="I297" s="24">
        <v>0</v>
      </c>
      <c r="J297" s="77"/>
    </row>
    <row r="298" spans="1:14" ht="24" x14ac:dyDescent="0.25">
      <c r="A298" s="115">
        <v>5</v>
      </c>
      <c r="B298" s="60" t="s">
        <v>18</v>
      </c>
      <c r="C298" s="10" t="str">
        <f>"SNUG-201-17-1027"</f>
        <v>SNUG-201-17-1027</v>
      </c>
      <c r="D298" s="56">
        <v>43068</v>
      </c>
      <c r="E298" s="56">
        <v>43100</v>
      </c>
      <c r="F298" s="8">
        <v>1140</v>
      </c>
      <c r="G298" s="8">
        <v>1425</v>
      </c>
      <c r="H298" s="56">
        <v>43100</v>
      </c>
      <c r="I298" s="24">
        <v>0</v>
      </c>
      <c r="J298" s="77"/>
    </row>
    <row r="299" spans="1:14" x14ac:dyDescent="0.25">
      <c r="A299" s="115">
        <v>6</v>
      </c>
      <c r="B299" s="60" t="s">
        <v>278</v>
      </c>
      <c r="C299" s="10" t="str">
        <f>"200/2017"</f>
        <v>200/2017</v>
      </c>
      <c r="D299" s="56">
        <v>43038</v>
      </c>
      <c r="E299" s="56">
        <v>43174</v>
      </c>
      <c r="F299" s="8">
        <v>3416</v>
      </c>
      <c r="G299" s="8">
        <v>4270</v>
      </c>
      <c r="H299" s="56">
        <v>43100</v>
      </c>
      <c r="I299" s="24">
        <v>3645</v>
      </c>
      <c r="J299" s="77"/>
    </row>
    <row r="300" spans="1:14" ht="24" x14ac:dyDescent="0.25">
      <c r="A300" s="115">
        <v>7</v>
      </c>
      <c r="B300" s="60" t="s">
        <v>193</v>
      </c>
      <c r="C300" s="10" t="str">
        <f>"64-61-14-7-5"</f>
        <v>64-61-14-7-5</v>
      </c>
      <c r="D300" s="56">
        <v>43033</v>
      </c>
      <c r="E300" s="56">
        <v>43398</v>
      </c>
      <c r="F300" s="8">
        <v>9892</v>
      </c>
      <c r="G300" s="8">
        <v>12365</v>
      </c>
      <c r="H300" s="56">
        <v>43100</v>
      </c>
      <c r="I300" s="24">
        <v>1400</v>
      </c>
      <c r="J300" s="77"/>
    </row>
    <row r="301" spans="1:14" ht="24" x14ac:dyDescent="0.25">
      <c r="A301" s="115">
        <v>8</v>
      </c>
      <c r="B301" s="60" t="s">
        <v>187</v>
      </c>
      <c r="C301" s="10" t="str">
        <f>"13/2013-7-U3"</f>
        <v>13/2013-7-U3</v>
      </c>
      <c r="D301" s="56">
        <v>42920</v>
      </c>
      <c r="E301" s="56">
        <v>43304</v>
      </c>
      <c r="F301" s="8">
        <v>2540</v>
      </c>
      <c r="G301" s="8">
        <v>3175</v>
      </c>
      <c r="H301" s="56">
        <v>42920</v>
      </c>
      <c r="I301" s="24">
        <v>0</v>
      </c>
      <c r="J301" s="77"/>
      <c r="K301" s="48"/>
    </row>
    <row r="302" spans="1:14" ht="24" x14ac:dyDescent="0.25">
      <c r="A302" s="115">
        <v>9</v>
      </c>
      <c r="B302" s="60" t="s">
        <v>196</v>
      </c>
      <c r="C302" s="10" t="str">
        <f>"MGPU 13/2013-7_2"</f>
        <v>MGPU 13/2013-7_2</v>
      </c>
      <c r="D302" s="56">
        <v>42887</v>
      </c>
      <c r="E302" s="56">
        <v>43100</v>
      </c>
      <c r="F302" s="8">
        <v>5920</v>
      </c>
      <c r="G302" s="8">
        <v>7400</v>
      </c>
      <c r="H302" s="56">
        <v>43100</v>
      </c>
      <c r="I302" s="24">
        <v>1800</v>
      </c>
      <c r="J302" s="77"/>
    </row>
    <row r="303" spans="1:14" ht="24" x14ac:dyDescent="0.25">
      <c r="A303" s="115">
        <v>10</v>
      </c>
      <c r="B303" s="60" t="s">
        <v>18</v>
      </c>
      <c r="C303" s="10" t="str">
        <f>"SNUG-201-17-0360"</f>
        <v>SNUG-201-17-0360</v>
      </c>
      <c r="D303" s="56">
        <v>42878</v>
      </c>
      <c r="E303" s="56">
        <v>43100</v>
      </c>
      <c r="F303" s="8">
        <v>31087.94</v>
      </c>
      <c r="G303" s="8">
        <v>38859.93</v>
      </c>
      <c r="H303" s="56">
        <v>43100</v>
      </c>
      <c r="I303" s="24">
        <v>67262.5</v>
      </c>
      <c r="J303" s="77"/>
    </row>
    <row r="304" spans="1:14" ht="24" x14ac:dyDescent="0.25">
      <c r="A304" s="115">
        <v>11</v>
      </c>
      <c r="B304" s="60" t="s">
        <v>18</v>
      </c>
      <c r="C304" s="10" t="str">
        <f>"SNUG-201-17-0361"</f>
        <v>SNUG-201-17-0361</v>
      </c>
      <c r="D304" s="56">
        <v>42878</v>
      </c>
      <c r="E304" s="56">
        <v>43100</v>
      </c>
      <c r="F304" s="8">
        <v>3112.25</v>
      </c>
      <c r="G304" s="8">
        <v>3890.31</v>
      </c>
      <c r="H304" s="56">
        <v>43100</v>
      </c>
      <c r="I304" s="24">
        <v>0</v>
      </c>
      <c r="J304" s="77"/>
    </row>
    <row r="305" spans="1:14" ht="24" x14ac:dyDescent="0.25">
      <c r="A305" s="115">
        <v>12</v>
      </c>
      <c r="B305" s="60" t="s">
        <v>205</v>
      </c>
      <c r="C305" s="10" t="str">
        <f>"MRMS-G7-2017"</f>
        <v>MRMS-G7-2017</v>
      </c>
      <c r="D305" s="56">
        <v>42858</v>
      </c>
      <c r="E305" s="56">
        <v>43100</v>
      </c>
      <c r="F305" s="8">
        <v>2000</v>
      </c>
      <c r="G305" s="8">
        <v>2500</v>
      </c>
      <c r="H305" s="56">
        <v>42916</v>
      </c>
      <c r="I305" s="24">
        <v>1300</v>
      </c>
      <c r="J305" s="77"/>
    </row>
    <row r="306" spans="1:14" x14ac:dyDescent="0.25">
      <c r="A306" s="115">
        <v>13</v>
      </c>
      <c r="B306" s="60" t="s">
        <v>278</v>
      </c>
      <c r="C306" s="10" t="str">
        <f>"75/2017"</f>
        <v>75/2017</v>
      </c>
      <c r="D306" s="56">
        <v>42831</v>
      </c>
      <c r="E306" s="56">
        <v>43039</v>
      </c>
      <c r="F306" s="8">
        <v>6220</v>
      </c>
      <c r="G306" s="8">
        <v>7775</v>
      </c>
      <c r="H306" s="56">
        <v>43039</v>
      </c>
      <c r="I306" s="24">
        <v>8775</v>
      </c>
      <c r="J306" s="77"/>
    </row>
    <row r="307" spans="1:14" x14ac:dyDescent="0.25">
      <c r="A307" s="115">
        <v>14</v>
      </c>
      <c r="B307" s="60" t="s">
        <v>185</v>
      </c>
      <c r="C307" s="10" t="str">
        <f>"13/2013-7"</f>
        <v>13/2013-7</v>
      </c>
      <c r="D307" s="56">
        <v>42698</v>
      </c>
      <c r="E307" s="56">
        <v>43100</v>
      </c>
      <c r="F307" s="8">
        <v>1176</v>
      </c>
      <c r="G307" s="8">
        <v>1470</v>
      </c>
      <c r="H307" s="56">
        <v>43100</v>
      </c>
      <c r="I307" s="24">
        <v>1445</v>
      </c>
      <c r="J307" s="70"/>
    </row>
    <row r="308" spans="1:14" ht="24" x14ac:dyDescent="0.25">
      <c r="A308" s="115">
        <v>15</v>
      </c>
      <c r="B308" s="60" t="s">
        <v>193</v>
      </c>
      <c r="C308" s="10" t="str">
        <f>"64-61-14-7-4"</f>
        <v>64-61-14-7-4</v>
      </c>
      <c r="D308" s="56">
        <v>42667</v>
      </c>
      <c r="E308" s="56">
        <v>43032</v>
      </c>
      <c r="F308" s="8">
        <v>12888</v>
      </c>
      <c r="G308" s="8">
        <v>16110</v>
      </c>
      <c r="H308" s="56">
        <v>43100</v>
      </c>
      <c r="I308" s="24">
        <v>6962.5</v>
      </c>
      <c r="J308" s="70"/>
    </row>
    <row r="309" spans="1:14" x14ac:dyDescent="0.25">
      <c r="A309" s="115">
        <v>16</v>
      </c>
      <c r="B309" s="60" t="s">
        <v>278</v>
      </c>
      <c r="C309" s="10" t="str">
        <f>"129/2016"</f>
        <v>129/2016</v>
      </c>
      <c r="D309" s="56">
        <v>42647</v>
      </c>
      <c r="E309" s="56">
        <v>42840</v>
      </c>
      <c r="F309" s="8">
        <v>4212</v>
      </c>
      <c r="G309" s="8">
        <v>5265</v>
      </c>
      <c r="H309" s="56">
        <v>42840</v>
      </c>
      <c r="I309" s="24">
        <v>3175</v>
      </c>
      <c r="J309" s="70"/>
      <c r="K309" s="48"/>
    </row>
    <row r="310" spans="1:14" x14ac:dyDescent="0.25">
      <c r="A310" s="115">
        <v>17</v>
      </c>
      <c r="B310" s="60" t="s">
        <v>210</v>
      </c>
      <c r="C310" s="10" t="str">
        <f>"PU-G7-2016"</f>
        <v>PU-G7-2016</v>
      </c>
      <c r="D310" s="56">
        <v>42500</v>
      </c>
      <c r="E310" s="56">
        <v>42865</v>
      </c>
      <c r="F310" s="8">
        <v>1820</v>
      </c>
      <c r="G310" s="8">
        <v>2275</v>
      </c>
      <c r="H310" s="56">
        <v>42865</v>
      </c>
      <c r="I310" s="24">
        <v>0</v>
      </c>
      <c r="J310" s="70"/>
    </row>
    <row r="311" spans="1:14" ht="24" x14ac:dyDescent="0.25">
      <c r="A311" s="115">
        <v>18</v>
      </c>
      <c r="B311" s="60" t="s">
        <v>187</v>
      </c>
      <c r="C311" s="10" t="str">
        <f>"802/01-16/04OS-7-U1"</f>
        <v>802/01-16/04OS-7-U1</v>
      </c>
      <c r="D311" s="56">
        <v>42493</v>
      </c>
      <c r="E311" s="56">
        <v>42858</v>
      </c>
      <c r="F311" s="8">
        <v>4200</v>
      </c>
      <c r="G311" s="8">
        <v>5250</v>
      </c>
      <c r="H311" s="56">
        <v>42916</v>
      </c>
      <c r="I311" s="24">
        <v>4105</v>
      </c>
      <c r="J311" s="70"/>
    </row>
    <row r="312" spans="1:14" ht="7.5" customHeight="1" x14ac:dyDescent="0.25"/>
    <row r="313" spans="1:14" x14ac:dyDescent="0.25">
      <c r="A313" s="175" t="s">
        <v>179</v>
      </c>
      <c r="B313" s="175"/>
      <c r="C313" s="175"/>
      <c r="D313" s="175"/>
      <c r="E313" s="175"/>
      <c r="F313" s="175"/>
      <c r="G313" s="175"/>
      <c r="H313" s="175"/>
      <c r="I313" s="175"/>
      <c r="J313" s="175"/>
      <c r="K313" s="175"/>
      <c r="L313" s="175"/>
      <c r="M313" s="175"/>
      <c r="N313" s="175"/>
    </row>
    <row r="314" spans="1:14" ht="36" x14ac:dyDescent="0.25">
      <c r="A314" s="53" t="s">
        <v>0</v>
      </c>
      <c r="B314" s="54" t="s">
        <v>1</v>
      </c>
      <c r="C314" s="54" t="s">
        <v>3</v>
      </c>
      <c r="D314" s="178" t="s">
        <v>171</v>
      </c>
      <c r="E314" s="178"/>
      <c r="F314" s="54" t="s">
        <v>166</v>
      </c>
      <c r="G314" s="54" t="s">
        <v>170</v>
      </c>
      <c r="H314" s="54" t="s">
        <v>167</v>
      </c>
      <c r="I314" s="54" t="s">
        <v>4</v>
      </c>
      <c r="J314" s="54" t="s">
        <v>5</v>
      </c>
      <c r="K314" s="54" t="s">
        <v>2</v>
      </c>
      <c r="L314" s="54" t="s">
        <v>172</v>
      </c>
      <c r="M314" s="54" t="s">
        <v>173</v>
      </c>
      <c r="N314" s="54" t="s">
        <v>169</v>
      </c>
    </row>
    <row r="315" spans="1:14" ht="39" customHeight="1" x14ac:dyDescent="0.25">
      <c r="A315" s="1">
        <v>1</v>
      </c>
      <c r="B315" s="4" t="s">
        <v>58</v>
      </c>
      <c r="C315" s="1" t="s">
        <v>38</v>
      </c>
      <c r="D315" s="179" t="s">
        <v>1056</v>
      </c>
      <c r="E315" s="180"/>
      <c r="F315" s="1" t="s">
        <v>69</v>
      </c>
      <c r="G315" s="1" t="s">
        <v>1001</v>
      </c>
      <c r="H315" s="1" t="s">
        <v>15</v>
      </c>
      <c r="I315" s="15">
        <v>41843</v>
      </c>
      <c r="J315" s="1" t="s">
        <v>59</v>
      </c>
      <c r="K315" s="8">
        <v>4211932.5</v>
      </c>
      <c r="L315" s="8">
        <f>K315*0.25</f>
        <v>1052983.125</v>
      </c>
      <c r="M315" s="8">
        <f>K315+L315</f>
        <v>5264915.625</v>
      </c>
      <c r="N315" s="176"/>
    </row>
    <row r="316" spans="1:14" ht="15" customHeight="1" x14ac:dyDescent="0.25">
      <c r="A316" s="177" t="s">
        <v>1012</v>
      </c>
      <c r="B316" s="177"/>
      <c r="C316" s="177"/>
      <c r="D316" s="177"/>
      <c r="E316" s="177"/>
      <c r="F316" s="177"/>
      <c r="G316" s="177"/>
      <c r="H316" s="177"/>
      <c r="I316" s="177"/>
      <c r="J316" s="177"/>
      <c r="K316" s="177"/>
      <c r="L316" s="177"/>
      <c r="M316" s="8">
        <v>229806.25</v>
      </c>
      <c r="N316" s="176"/>
    </row>
    <row r="317" spans="1:14" ht="7.5" customHeight="1" x14ac:dyDescent="0.25">
      <c r="L317" s="47"/>
    </row>
    <row r="318" spans="1:14" ht="15" customHeight="1" x14ac:dyDescent="0.25">
      <c r="A318" s="175" t="s">
        <v>12</v>
      </c>
      <c r="B318" s="175"/>
      <c r="C318" s="175"/>
      <c r="D318" s="175"/>
      <c r="E318" s="175"/>
      <c r="F318" s="175"/>
      <c r="G318" s="175"/>
      <c r="H318" s="175"/>
      <c r="I318" s="175"/>
      <c r="J318" s="175"/>
      <c r="K318" s="49"/>
      <c r="L318" s="49"/>
    </row>
    <row r="319" spans="1:14" ht="48" customHeight="1" x14ac:dyDescent="0.25">
      <c r="A319" s="2" t="s">
        <v>0</v>
      </c>
      <c r="B319" s="3" t="s">
        <v>7</v>
      </c>
      <c r="C319" s="3" t="s">
        <v>6</v>
      </c>
      <c r="D319" s="3" t="s">
        <v>8</v>
      </c>
      <c r="E319" s="3" t="s">
        <v>168</v>
      </c>
      <c r="F319" s="3" t="s">
        <v>174</v>
      </c>
      <c r="G319" s="3" t="s">
        <v>175</v>
      </c>
      <c r="H319" s="3" t="s">
        <v>9</v>
      </c>
      <c r="I319" s="3" t="s">
        <v>176</v>
      </c>
      <c r="J319" s="3" t="s">
        <v>10</v>
      </c>
      <c r="K319" s="48"/>
      <c r="L319" s="48"/>
      <c r="M319" s="48"/>
    </row>
    <row r="320" spans="1:14" ht="24" x14ac:dyDescent="0.25">
      <c r="A320" s="1">
        <v>1</v>
      </c>
      <c r="B320" s="60" t="s">
        <v>205</v>
      </c>
      <c r="C320" s="10" t="str">
        <f>"MRMS-G8-2015"</f>
        <v>MRMS-G8-2015</v>
      </c>
      <c r="D320" s="56">
        <v>42239</v>
      </c>
      <c r="E320" s="59"/>
      <c r="F320" s="8">
        <v>12480</v>
      </c>
      <c r="G320" s="8">
        <v>15600</v>
      </c>
      <c r="H320" s="56">
        <v>42369</v>
      </c>
      <c r="I320" s="8">
        <v>15600</v>
      </c>
      <c r="J320" s="70"/>
    </row>
    <row r="321" spans="1:11" x14ac:dyDescent="0.25">
      <c r="A321" s="1">
        <v>2</v>
      </c>
      <c r="B321" s="60" t="s">
        <v>212</v>
      </c>
      <c r="C321" s="10" t="str">
        <f>"352/2015"</f>
        <v>352/2015</v>
      </c>
      <c r="D321" s="56">
        <v>42103</v>
      </c>
      <c r="E321" s="59"/>
      <c r="F321" s="8">
        <v>180</v>
      </c>
      <c r="G321" s="8">
        <v>225</v>
      </c>
      <c r="H321" s="56">
        <v>42916</v>
      </c>
      <c r="I321" s="8">
        <v>475</v>
      </c>
      <c r="J321" s="70"/>
    </row>
    <row r="322" spans="1:11" ht="24" x14ac:dyDescent="0.25">
      <c r="A322" s="1">
        <v>3</v>
      </c>
      <c r="B322" s="60" t="s">
        <v>18</v>
      </c>
      <c r="C322" s="10" t="str">
        <f>"SNUG-201-17-1029"</f>
        <v>SNUG-201-17-1029</v>
      </c>
      <c r="D322" s="56">
        <v>43068</v>
      </c>
      <c r="E322" s="56">
        <v>43100</v>
      </c>
      <c r="F322" s="8">
        <v>75088</v>
      </c>
      <c r="G322" s="8">
        <v>93860</v>
      </c>
      <c r="H322" s="56">
        <v>43100</v>
      </c>
      <c r="I322" s="8">
        <v>64417.5</v>
      </c>
      <c r="J322" s="70"/>
    </row>
    <row r="323" spans="1:11" ht="24" x14ac:dyDescent="0.25">
      <c r="A323" s="1">
        <v>4</v>
      </c>
      <c r="B323" s="60" t="s">
        <v>18</v>
      </c>
      <c r="C323" s="10" t="str">
        <f>"SNUG-201-17-1026"</f>
        <v>SNUG-201-17-1026</v>
      </c>
      <c r="D323" s="56">
        <v>43068</v>
      </c>
      <c r="E323" s="56">
        <v>43100</v>
      </c>
      <c r="F323" s="8">
        <v>12486</v>
      </c>
      <c r="G323" s="8">
        <v>15607.5</v>
      </c>
      <c r="H323" s="56">
        <v>43100</v>
      </c>
      <c r="I323" s="8">
        <v>0</v>
      </c>
      <c r="J323" s="70"/>
    </row>
    <row r="324" spans="1:11" x14ac:dyDescent="0.25">
      <c r="A324" s="1">
        <v>5</v>
      </c>
      <c r="B324" s="60" t="s">
        <v>278</v>
      </c>
      <c r="C324" s="10" t="str">
        <f>"201/2017"</f>
        <v>201/2017</v>
      </c>
      <c r="D324" s="56">
        <v>43038</v>
      </c>
      <c r="E324" s="56">
        <v>43174</v>
      </c>
      <c r="F324" s="8">
        <v>8580</v>
      </c>
      <c r="G324" s="8">
        <v>10725</v>
      </c>
      <c r="H324" s="56">
        <v>43100</v>
      </c>
      <c r="I324" s="8">
        <v>8575</v>
      </c>
      <c r="J324" s="70"/>
    </row>
    <row r="325" spans="1:11" ht="24" x14ac:dyDescent="0.25">
      <c r="A325" s="1">
        <v>6</v>
      </c>
      <c r="B325" s="60" t="s">
        <v>193</v>
      </c>
      <c r="C325" s="10" t="str">
        <f>"64-61-14-8-5"</f>
        <v>64-61-14-8-5</v>
      </c>
      <c r="D325" s="56">
        <v>43033</v>
      </c>
      <c r="E325" s="56">
        <v>43398</v>
      </c>
      <c r="F325" s="8">
        <v>23141</v>
      </c>
      <c r="G325" s="8">
        <v>28926.25</v>
      </c>
      <c r="H325" s="56">
        <v>43100</v>
      </c>
      <c r="I325" s="8">
        <v>10095</v>
      </c>
      <c r="J325" s="70"/>
    </row>
    <row r="326" spans="1:11" ht="24" x14ac:dyDescent="0.25">
      <c r="A326" s="1">
        <v>7</v>
      </c>
      <c r="B326" s="60" t="s">
        <v>187</v>
      </c>
      <c r="C326" s="10" t="str">
        <f>"13/2013-8-U3"</f>
        <v>13/2013-8-U3</v>
      </c>
      <c r="D326" s="56">
        <v>42895</v>
      </c>
      <c r="E326" s="56">
        <v>43304</v>
      </c>
      <c r="F326" s="8">
        <v>4280</v>
      </c>
      <c r="G326" s="8">
        <v>5350</v>
      </c>
      <c r="H326" s="56">
        <v>42916</v>
      </c>
      <c r="I326" s="8">
        <v>0</v>
      </c>
      <c r="J326" s="70"/>
    </row>
    <row r="327" spans="1:11" ht="24" x14ac:dyDescent="0.25">
      <c r="A327" s="1">
        <v>8</v>
      </c>
      <c r="B327" s="60" t="s">
        <v>196</v>
      </c>
      <c r="C327" s="10" t="str">
        <f>"MGPU13/2013-8_2"</f>
        <v>MGPU13/2013-8_2</v>
      </c>
      <c r="D327" s="56">
        <v>42885</v>
      </c>
      <c r="E327" s="56">
        <v>43100</v>
      </c>
      <c r="F327" s="8">
        <v>7240</v>
      </c>
      <c r="G327" s="8">
        <v>9050</v>
      </c>
      <c r="H327" s="162"/>
      <c r="I327" s="167">
        <v>0</v>
      </c>
      <c r="J327" s="70"/>
      <c r="K327" s="48"/>
    </row>
    <row r="328" spans="1:11" ht="24" x14ac:dyDescent="0.25">
      <c r="A328" s="1">
        <v>9</v>
      </c>
      <c r="B328" s="60" t="s">
        <v>18</v>
      </c>
      <c r="C328" s="10" t="str">
        <f>"SNUG-201-17-0363"</f>
        <v>SNUG-201-17-0363</v>
      </c>
      <c r="D328" s="56">
        <v>42878</v>
      </c>
      <c r="E328" s="56">
        <v>43100</v>
      </c>
      <c r="F328" s="8">
        <v>3166.94</v>
      </c>
      <c r="G328" s="8">
        <v>3958.68</v>
      </c>
      <c r="H328" s="56">
        <v>43100</v>
      </c>
      <c r="I328" s="8">
        <v>5500</v>
      </c>
      <c r="J328" s="70"/>
    </row>
    <row r="329" spans="1:11" ht="24" x14ac:dyDescent="0.25">
      <c r="A329" s="1">
        <v>10</v>
      </c>
      <c r="B329" s="60" t="s">
        <v>18</v>
      </c>
      <c r="C329" s="10" t="str">
        <f>"SNUG-201-17-0362"</f>
        <v>SNUG-201-17-0362</v>
      </c>
      <c r="D329" s="56">
        <v>42878</v>
      </c>
      <c r="E329" s="56">
        <v>43100</v>
      </c>
      <c r="F329" s="8">
        <v>40453.78</v>
      </c>
      <c r="G329" s="8">
        <v>50567.23</v>
      </c>
      <c r="H329" s="56">
        <v>43100</v>
      </c>
      <c r="I329" s="8">
        <v>70818.75</v>
      </c>
      <c r="J329" s="70"/>
    </row>
    <row r="330" spans="1:11" ht="24" x14ac:dyDescent="0.25">
      <c r="A330" s="1">
        <v>11</v>
      </c>
      <c r="B330" s="60" t="s">
        <v>205</v>
      </c>
      <c r="C330" s="10" t="str">
        <f>"MRMS-G8-2017"</f>
        <v>MRMS-G8-2017</v>
      </c>
      <c r="D330" s="56">
        <v>42858</v>
      </c>
      <c r="E330" s="56">
        <v>43100</v>
      </c>
      <c r="F330" s="8">
        <v>3500</v>
      </c>
      <c r="G330" s="8">
        <v>4375</v>
      </c>
      <c r="H330" s="56">
        <v>42916</v>
      </c>
      <c r="I330" s="8">
        <v>2000</v>
      </c>
      <c r="J330" s="70"/>
    </row>
    <row r="331" spans="1:11" x14ac:dyDescent="0.25">
      <c r="A331" s="1">
        <v>12</v>
      </c>
      <c r="B331" s="60" t="s">
        <v>278</v>
      </c>
      <c r="C331" s="10" t="str">
        <f>"76/2017"</f>
        <v>76/2017</v>
      </c>
      <c r="D331" s="56">
        <v>42831</v>
      </c>
      <c r="E331" s="56">
        <v>43039</v>
      </c>
      <c r="F331" s="8">
        <v>4840</v>
      </c>
      <c r="G331" s="8">
        <v>6050</v>
      </c>
      <c r="H331" s="56">
        <v>43039</v>
      </c>
      <c r="I331" s="8">
        <v>7350</v>
      </c>
      <c r="J331" s="70"/>
    </row>
    <row r="332" spans="1:11" x14ac:dyDescent="0.25">
      <c r="A332" s="1">
        <v>13</v>
      </c>
      <c r="B332" s="60" t="s">
        <v>198</v>
      </c>
      <c r="C332" s="10" t="str">
        <f>"P/14834137"</f>
        <v>P/14834137</v>
      </c>
      <c r="D332" s="56">
        <v>42781</v>
      </c>
      <c r="E332" s="56">
        <v>43132</v>
      </c>
      <c r="F332" s="8">
        <v>15880</v>
      </c>
      <c r="G332" s="8">
        <v>19850</v>
      </c>
      <c r="H332" s="56">
        <v>43100</v>
      </c>
      <c r="I332" s="8">
        <v>4805</v>
      </c>
      <c r="J332" s="70"/>
    </row>
    <row r="333" spans="1:11" ht="24" x14ac:dyDescent="0.25">
      <c r="A333" s="1">
        <v>14</v>
      </c>
      <c r="B333" s="60" t="s">
        <v>206</v>
      </c>
      <c r="C333" s="10" t="str">
        <f>"GUME GRUPA 8 ST"</f>
        <v>GUME GRUPA 8 ST</v>
      </c>
      <c r="D333" s="56">
        <v>42753</v>
      </c>
      <c r="E333" s="56">
        <v>43100</v>
      </c>
      <c r="F333" s="8">
        <v>4104</v>
      </c>
      <c r="G333" s="8">
        <v>5130</v>
      </c>
      <c r="H333" s="56">
        <v>43100</v>
      </c>
      <c r="I333" s="8">
        <v>0</v>
      </c>
      <c r="J333" s="70"/>
    </row>
    <row r="334" spans="1:11" x14ac:dyDescent="0.25">
      <c r="A334" s="1">
        <v>15</v>
      </c>
      <c r="B334" s="60" t="s">
        <v>185</v>
      </c>
      <c r="C334" s="10" t="str">
        <f>"13/2013-8"</f>
        <v>13/2013-8</v>
      </c>
      <c r="D334" s="56">
        <v>42698</v>
      </c>
      <c r="E334" s="56">
        <v>43100</v>
      </c>
      <c r="F334" s="8">
        <v>2384</v>
      </c>
      <c r="G334" s="8">
        <v>2980</v>
      </c>
      <c r="H334" s="56">
        <v>43100</v>
      </c>
      <c r="I334" s="8">
        <v>800</v>
      </c>
      <c r="J334" s="70"/>
    </row>
    <row r="335" spans="1:11" ht="24" x14ac:dyDescent="0.25">
      <c r="A335" s="1">
        <v>16</v>
      </c>
      <c r="B335" s="60" t="s">
        <v>193</v>
      </c>
      <c r="C335" s="10" t="str">
        <f>"64-61-14-8-4"</f>
        <v>64-61-14-8-4</v>
      </c>
      <c r="D335" s="56">
        <v>42667</v>
      </c>
      <c r="E335" s="56">
        <v>43032</v>
      </c>
      <c r="F335" s="8">
        <v>26010</v>
      </c>
      <c r="G335" s="8">
        <v>32512.5</v>
      </c>
      <c r="H335" s="56">
        <v>43100</v>
      </c>
      <c r="I335" s="8">
        <v>24375</v>
      </c>
      <c r="J335" s="70"/>
      <c r="K335" s="48"/>
    </row>
    <row r="336" spans="1:11" x14ac:dyDescent="0.25">
      <c r="A336" s="1">
        <v>17</v>
      </c>
      <c r="B336" s="60" t="s">
        <v>278</v>
      </c>
      <c r="C336" s="10" t="str">
        <f>"130/2016"</f>
        <v>130/2016</v>
      </c>
      <c r="D336" s="56">
        <v>42643</v>
      </c>
      <c r="E336" s="56">
        <v>42840</v>
      </c>
      <c r="F336" s="8">
        <v>3332</v>
      </c>
      <c r="G336" s="8">
        <v>4165</v>
      </c>
      <c r="H336" s="56">
        <v>42840</v>
      </c>
      <c r="I336" s="8">
        <v>6272.5</v>
      </c>
      <c r="J336" s="70"/>
    </row>
    <row r="337" spans="1:14" x14ac:dyDescent="0.25">
      <c r="A337" s="1">
        <v>18</v>
      </c>
      <c r="B337" s="60" t="s">
        <v>210</v>
      </c>
      <c r="C337" s="10" t="str">
        <f>"PU-G8-2016"</f>
        <v>PU-G8-2016</v>
      </c>
      <c r="D337" s="56">
        <v>42500</v>
      </c>
      <c r="E337" s="56">
        <v>42865</v>
      </c>
      <c r="F337" s="8">
        <v>3220</v>
      </c>
      <c r="G337" s="8">
        <v>4025</v>
      </c>
      <c r="H337" s="56">
        <v>42865</v>
      </c>
      <c r="I337" s="8">
        <v>4675</v>
      </c>
      <c r="J337" s="70"/>
    </row>
    <row r="338" spans="1:14" ht="24" x14ac:dyDescent="0.25">
      <c r="A338" s="1">
        <v>19</v>
      </c>
      <c r="B338" s="60" t="s">
        <v>187</v>
      </c>
      <c r="C338" s="10" t="str">
        <f>"802/01-16/04OS-8-U1"</f>
        <v>802/01-16/04OS-8-U1</v>
      </c>
      <c r="D338" s="56">
        <v>42493</v>
      </c>
      <c r="E338" s="56">
        <v>42858</v>
      </c>
      <c r="F338" s="8">
        <v>4584</v>
      </c>
      <c r="G338" s="8">
        <v>5730</v>
      </c>
      <c r="H338" s="56">
        <v>42916</v>
      </c>
      <c r="I338" s="8">
        <v>4047.5</v>
      </c>
      <c r="J338" s="70"/>
    </row>
    <row r="339" spans="1:14" ht="7.5" customHeight="1" x14ac:dyDescent="0.25"/>
    <row r="340" spans="1:14" x14ac:dyDescent="0.25">
      <c r="A340" s="175" t="s">
        <v>179</v>
      </c>
      <c r="B340" s="175"/>
      <c r="C340" s="175"/>
      <c r="D340" s="175"/>
      <c r="E340" s="175"/>
      <c r="F340" s="175"/>
      <c r="G340" s="175"/>
      <c r="H340" s="175"/>
      <c r="I340" s="175"/>
      <c r="J340" s="175"/>
      <c r="K340" s="175"/>
      <c r="L340" s="175"/>
      <c r="M340" s="175"/>
      <c r="N340" s="175"/>
    </row>
    <row r="341" spans="1:14" ht="36" x14ac:dyDescent="0.25">
      <c r="A341" s="53" t="s">
        <v>0</v>
      </c>
      <c r="B341" s="54" t="s">
        <v>1</v>
      </c>
      <c r="C341" s="54" t="s">
        <v>3</v>
      </c>
      <c r="D341" s="178" t="s">
        <v>171</v>
      </c>
      <c r="E341" s="178"/>
      <c r="F341" s="54" t="s">
        <v>166</v>
      </c>
      <c r="G341" s="54" t="s">
        <v>170</v>
      </c>
      <c r="H341" s="54" t="s">
        <v>167</v>
      </c>
      <c r="I341" s="54" t="s">
        <v>4</v>
      </c>
      <c r="J341" s="54" t="s">
        <v>5</v>
      </c>
      <c r="K341" s="54" t="s">
        <v>2</v>
      </c>
      <c r="L341" s="54" t="s">
        <v>172</v>
      </c>
      <c r="M341" s="54" t="s">
        <v>173</v>
      </c>
      <c r="N341" s="54" t="s">
        <v>169</v>
      </c>
    </row>
    <row r="342" spans="1:14" ht="50.25" customHeight="1" x14ac:dyDescent="0.25">
      <c r="A342" s="1">
        <v>1</v>
      </c>
      <c r="B342" s="4" t="s">
        <v>58</v>
      </c>
      <c r="C342" s="1" t="s">
        <v>39</v>
      </c>
      <c r="D342" s="179" t="s">
        <v>1058</v>
      </c>
      <c r="E342" s="180"/>
      <c r="F342" s="1" t="s">
        <v>69</v>
      </c>
      <c r="G342" s="1" t="s">
        <v>1001</v>
      </c>
      <c r="H342" s="1" t="s">
        <v>15</v>
      </c>
      <c r="I342" s="15">
        <v>41844</v>
      </c>
      <c r="J342" s="1" t="s">
        <v>59</v>
      </c>
      <c r="K342" s="8">
        <v>3194061.33</v>
      </c>
      <c r="L342" s="8">
        <f>K342*0.25</f>
        <v>798515.33250000002</v>
      </c>
      <c r="M342" s="8">
        <f>K342+L342</f>
        <v>3992576.6625000001</v>
      </c>
      <c r="N342" s="176"/>
    </row>
    <row r="343" spans="1:14" ht="15" customHeight="1" x14ac:dyDescent="0.25">
      <c r="A343" s="177" t="s">
        <v>1012</v>
      </c>
      <c r="B343" s="177"/>
      <c r="C343" s="177"/>
      <c r="D343" s="177"/>
      <c r="E343" s="177"/>
      <c r="F343" s="177"/>
      <c r="G343" s="177"/>
      <c r="H343" s="177"/>
      <c r="I343" s="177"/>
      <c r="J343" s="177"/>
      <c r="K343" s="177"/>
      <c r="L343" s="177"/>
      <c r="M343" s="8">
        <v>2880604.38</v>
      </c>
      <c r="N343" s="176"/>
    </row>
    <row r="344" spans="1:14" ht="7.5" customHeight="1" x14ac:dyDescent="0.25">
      <c r="L344" s="47"/>
    </row>
    <row r="345" spans="1:14" ht="15" customHeight="1" x14ac:dyDescent="0.25">
      <c r="A345" s="175" t="s">
        <v>12</v>
      </c>
      <c r="B345" s="175"/>
      <c r="C345" s="175"/>
      <c r="D345" s="175"/>
      <c r="E345" s="175"/>
      <c r="F345" s="175"/>
      <c r="G345" s="175"/>
      <c r="H345" s="175"/>
      <c r="I345" s="175"/>
      <c r="J345" s="175"/>
      <c r="K345" s="49"/>
      <c r="L345" s="49"/>
    </row>
    <row r="346" spans="1:14" ht="48" customHeight="1" x14ac:dyDescent="0.25">
      <c r="A346" s="2" t="s">
        <v>0</v>
      </c>
      <c r="B346" s="3" t="s">
        <v>7</v>
      </c>
      <c r="C346" s="3" t="s">
        <v>6</v>
      </c>
      <c r="D346" s="3" t="s">
        <v>8</v>
      </c>
      <c r="E346" s="3" t="s">
        <v>168</v>
      </c>
      <c r="F346" s="3" t="s">
        <v>174</v>
      </c>
      <c r="G346" s="3" t="s">
        <v>175</v>
      </c>
      <c r="H346" s="3" t="s">
        <v>9</v>
      </c>
      <c r="I346" s="3" t="s">
        <v>176</v>
      </c>
      <c r="J346" s="3" t="s">
        <v>10</v>
      </c>
      <c r="K346" s="48"/>
      <c r="L346" s="48"/>
      <c r="M346" s="48"/>
    </row>
    <row r="347" spans="1:14" ht="24" x14ac:dyDescent="0.25">
      <c r="A347" s="1">
        <v>1</v>
      </c>
      <c r="B347" s="60" t="s">
        <v>18</v>
      </c>
      <c r="C347" s="10" t="str">
        <f>"UG-201-15-0574"</f>
        <v>UG-201-15-0574</v>
      </c>
      <c r="D347" s="56">
        <v>42191</v>
      </c>
      <c r="E347" s="59"/>
      <c r="F347" s="70">
        <v>468802</v>
      </c>
      <c r="G347" s="70">
        <v>586002.5</v>
      </c>
      <c r="H347" s="56">
        <v>42369</v>
      </c>
      <c r="I347" s="24">
        <v>605540</v>
      </c>
      <c r="J347" s="70"/>
    </row>
    <row r="348" spans="1:14" ht="24" x14ac:dyDescent="0.25">
      <c r="A348" s="1">
        <v>2</v>
      </c>
      <c r="B348" s="60" t="s">
        <v>18</v>
      </c>
      <c r="C348" s="10" t="str">
        <f>"NND-201-15-092"</f>
        <v>NND-201-15-092</v>
      </c>
      <c r="D348" s="56">
        <v>42132</v>
      </c>
      <c r="E348" s="59"/>
      <c r="F348" s="70">
        <v>46266</v>
      </c>
      <c r="G348" s="70">
        <v>57832.5</v>
      </c>
      <c r="H348" s="56">
        <v>42369</v>
      </c>
      <c r="I348" s="24">
        <v>56482.5</v>
      </c>
      <c r="J348" s="70"/>
    </row>
    <row r="349" spans="1:14" ht="24" x14ac:dyDescent="0.25">
      <c r="A349" s="1">
        <v>3</v>
      </c>
      <c r="B349" s="60" t="s">
        <v>18</v>
      </c>
      <c r="C349" s="10" t="str">
        <f>"SNUG-201-17-1030"</f>
        <v>SNUG-201-17-1030</v>
      </c>
      <c r="D349" s="56">
        <v>43068</v>
      </c>
      <c r="E349" s="56">
        <v>43100</v>
      </c>
      <c r="F349" s="70">
        <v>281280</v>
      </c>
      <c r="G349" s="70">
        <v>351600</v>
      </c>
      <c r="H349" s="56">
        <v>43100</v>
      </c>
      <c r="I349" s="24">
        <v>193240</v>
      </c>
      <c r="J349" s="70"/>
    </row>
    <row r="350" spans="1:14" ht="24" x14ac:dyDescent="0.25">
      <c r="A350" s="1">
        <v>4</v>
      </c>
      <c r="B350" s="60" t="s">
        <v>18</v>
      </c>
      <c r="C350" s="10" t="str">
        <f>"SNIG-201-17-1038"</f>
        <v>SNIG-201-17-1038</v>
      </c>
      <c r="D350" s="56">
        <v>43068</v>
      </c>
      <c r="E350" s="56">
        <v>43100</v>
      </c>
      <c r="F350" s="70">
        <v>858476</v>
      </c>
      <c r="G350" s="70">
        <v>1073095</v>
      </c>
      <c r="H350" s="56">
        <v>43100</v>
      </c>
      <c r="I350" s="24">
        <v>238786.25</v>
      </c>
      <c r="J350" s="70"/>
    </row>
    <row r="351" spans="1:14" ht="24" x14ac:dyDescent="0.25">
      <c r="A351" s="1">
        <v>5</v>
      </c>
      <c r="B351" s="60" t="s">
        <v>18</v>
      </c>
      <c r="C351" s="10" t="str">
        <f>"SNUG-201-17-0364"</f>
        <v>SNUG-201-17-0364</v>
      </c>
      <c r="D351" s="56">
        <v>42878</v>
      </c>
      <c r="E351" s="56">
        <v>43100</v>
      </c>
      <c r="F351" s="70">
        <v>486365.34</v>
      </c>
      <c r="G351" s="70">
        <v>607956.68000000005</v>
      </c>
      <c r="H351" s="56">
        <v>43100</v>
      </c>
      <c r="I351" s="24">
        <v>1047606.875</v>
      </c>
      <c r="J351" s="70"/>
    </row>
    <row r="352" spans="1:14" ht="24" x14ac:dyDescent="0.25">
      <c r="A352" s="1">
        <v>6</v>
      </c>
      <c r="B352" s="60" t="s">
        <v>18</v>
      </c>
      <c r="C352" s="10" t="str">
        <f>"SNUG-201-17-0365"</f>
        <v>SNUG-201-17-0365</v>
      </c>
      <c r="D352" s="56">
        <v>42878</v>
      </c>
      <c r="E352" s="56">
        <v>43100</v>
      </c>
      <c r="F352" s="70">
        <v>510124.67</v>
      </c>
      <c r="G352" s="70">
        <v>637655.84</v>
      </c>
      <c r="H352" s="56">
        <v>43100</v>
      </c>
      <c r="I352" s="24">
        <v>738948.75</v>
      </c>
      <c r="J352" s="70"/>
    </row>
    <row r="354" spans="2:10" x14ac:dyDescent="0.25">
      <c r="B354" s="174" t="s">
        <v>2028</v>
      </c>
      <c r="C354" s="174"/>
      <c r="D354" s="174"/>
      <c r="E354" s="174"/>
      <c r="F354" s="174"/>
      <c r="G354" s="174"/>
      <c r="H354" s="174"/>
      <c r="I354" s="174"/>
      <c r="J354" s="174"/>
    </row>
  </sheetData>
  <sheetProtection algorithmName="SHA-512" hashValue="NuyGOi3yNDXdABqWqtDCZrXSniUwwRDmDawk9wa/r8RpkPCnbwhTcYeFMePyK/yYuw8kl58iC7UjU76v1xqEGA==" saltValue="Vw1HFSHwk70tMD9fNqJpCw==" spinCount="100000" sheet="1" objects="1" scenarios="1"/>
  <mergeCells count="55">
    <mergeCell ref="A1:N1"/>
    <mergeCell ref="D2:E2"/>
    <mergeCell ref="A292:J292"/>
    <mergeCell ref="A313:N313"/>
    <mergeCell ref="D314:E314"/>
    <mergeCell ref="D3:E3"/>
    <mergeCell ref="N3:N4"/>
    <mergeCell ref="A4:L4"/>
    <mergeCell ref="A6:J6"/>
    <mergeCell ref="A168:N168"/>
    <mergeCell ref="D169:E169"/>
    <mergeCell ref="D170:E170"/>
    <mergeCell ref="N170:N171"/>
    <mergeCell ref="A171:L171"/>
    <mergeCell ref="A173:J173"/>
    <mergeCell ref="A196:N196"/>
    <mergeCell ref="D197:E197"/>
    <mergeCell ref="D198:E198"/>
    <mergeCell ref="N198:N199"/>
    <mergeCell ref="A199:L199"/>
    <mergeCell ref="A201:J201"/>
    <mergeCell ref="A219:N219"/>
    <mergeCell ref="D220:E220"/>
    <mergeCell ref="D221:E221"/>
    <mergeCell ref="N221:N222"/>
    <mergeCell ref="A222:L222"/>
    <mergeCell ref="A224:J224"/>
    <mergeCell ref="A238:N238"/>
    <mergeCell ref="D239:E239"/>
    <mergeCell ref="D240:E240"/>
    <mergeCell ref="N240:N241"/>
    <mergeCell ref="A241:L241"/>
    <mergeCell ref="D342:E342"/>
    <mergeCell ref="A243:J243"/>
    <mergeCell ref="A260:N260"/>
    <mergeCell ref="D261:E261"/>
    <mergeCell ref="D262:E262"/>
    <mergeCell ref="N262:N263"/>
    <mergeCell ref="A263:L263"/>
    <mergeCell ref="B354:J354"/>
    <mergeCell ref="N342:N343"/>
    <mergeCell ref="A343:L343"/>
    <mergeCell ref="A345:J345"/>
    <mergeCell ref="A265:J265"/>
    <mergeCell ref="A287:N287"/>
    <mergeCell ref="D288:E288"/>
    <mergeCell ref="D289:E289"/>
    <mergeCell ref="N289:N290"/>
    <mergeCell ref="A290:L290"/>
    <mergeCell ref="D315:E315"/>
    <mergeCell ref="N315:N316"/>
    <mergeCell ref="A316:L316"/>
    <mergeCell ref="A318:J318"/>
    <mergeCell ref="A340:N340"/>
    <mergeCell ref="D341:E341"/>
  </mergeCells>
  <pageMargins left="0.23622047244094491" right="0.23622047244094491" top="0.98425196850393704" bottom="0.59055118110236227" header="0.31496062992125984" footer="0.31496062992125984"/>
  <pageSetup scale="69" fitToHeight="0" orientation="landscape" r:id="rId1"/>
  <headerFooter>
    <oddHeader>&amp;L&amp;G&amp;CRegistar okvirnih sporazuma i ugovora za 2016. godinu 
za predmete nabave iz nadležnosti središnjeg državnog ureda za središnju javnu nabavu</oddHeader>
    <oddFooter>&amp;L&amp;D&amp;C &amp;A&amp;R&amp;P/&amp;N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N446"/>
  <sheetViews>
    <sheetView view="pageLayout" zoomScaleNormal="100" workbookViewId="0">
      <selection sqref="A1:N1"/>
    </sheetView>
  </sheetViews>
  <sheetFormatPr defaultRowHeight="15" x14ac:dyDescent="0.25"/>
  <cols>
    <col min="1" max="1" width="4.85546875" customWidth="1"/>
    <col min="2" max="2" width="26.140625" customWidth="1"/>
    <col min="3" max="3" width="12" customWidth="1"/>
    <col min="4" max="4" width="13.42578125" customWidth="1"/>
    <col min="5" max="5" width="14" customWidth="1"/>
    <col min="6" max="6" width="15.28515625" customWidth="1"/>
    <col min="7" max="10" width="13.5703125" customWidth="1"/>
    <col min="11" max="11" width="14.28515625" customWidth="1"/>
    <col min="12" max="12" width="14.140625" customWidth="1"/>
    <col min="13" max="13" width="14.28515625" customWidth="1"/>
    <col min="14" max="14" width="11.42578125" customWidth="1"/>
  </cols>
  <sheetData>
    <row r="1" spans="1:14" x14ac:dyDescent="0.25">
      <c r="A1" s="175" t="s">
        <v>11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36" x14ac:dyDescent="0.25">
      <c r="A2" s="53" t="s">
        <v>0</v>
      </c>
      <c r="B2" s="54" t="s">
        <v>1</v>
      </c>
      <c r="C2" s="54" t="s">
        <v>3</v>
      </c>
      <c r="D2" s="178" t="s">
        <v>171</v>
      </c>
      <c r="E2" s="178"/>
      <c r="F2" s="54" t="s">
        <v>166</v>
      </c>
      <c r="G2" s="54" t="s">
        <v>170</v>
      </c>
      <c r="H2" s="54" t="s">
        <v>167</v>
      </c>
      <c r="I2" s="54" t="s">
        <v>4</v>
      </c>
      <c r="J2" s="54" t="s">
        <v>5</v>
      </c>
      <c r="K2" s="54" t="s">
        <v>2</v>
      </c>
      <c r="L2" s="54" t="s">
        <v>172</v>
      </c>
      <c r="M2" s="54" t="s">
        <v>173</v>
      </c>
      <c r="N2" s="54" t="s">
        <v>169</v>
      </c>
    </row>
    <row r="3" spans="1:14" ht="26.25" customHeight="1" x14ac:dyDescent="0.25">
      <c r="A3" s="1">
        <v>1</v>
      </c>
      <c r="B3" s="18" t="s">
        <v>115</v>
      </c>
      <c r="C3" s="1" t="s">
        <v>116</v>
      </c>
      <c r="D3" s="190" t="s">
        <v>1028</v>
      </c>
      <c r="E3" s="191"/>
      <c r="F3" s="1" t="s">
        <v>152</v>
      </c>
      <c r="G3" s="1" t="s">
        <v>1002</v>
      </c>
      <c r="H3" s="1" t="s">
        <v>15</v>
      </c>
      <c r="I3" s="15">
        <v>42765</v>
      </c>
      <c r="J3" s="1" t="s">
        <v>51</v>
      </c>
      <c r="K3" s="8">
        <v>92992590</v>
      </c>
      <c r="L3" s="8">
        <f>K3*0.25</f>
        <v>23248147.5</v>
      </c>
      <c r="M3" s="8">
        <f>K3+L3</f>
        <v>116240737.5</v>
      </c>
      <c r="N3" s="176"/>
    </row>
    <row r="4" spans="1:14" ht="15" customHeight="1" x14ac:dyDescent="0.25">
      <c r="A4" s="177" t="s">
        <v>1012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8">
        <v>35173563.229999997</v>
      </c>
      <c r="N4" s="176"/>
    </row>
    <row r="5" spans="1:14" ht="7.5" customHeight="1" x14ac:dyDescent="0.25">
      <c r="L5" s="47"/>
    </row>
    <row r="6" spans="1:14" ht="15" customHeight="1" x14ac:dyDescent="0.25">
      <c r="A6" s="175" t="s">
        <v>12</v>
      </c>
      <c r="B6" s="175"/>
      <c r="C6" s="175"/>
      <c r="D6" s="175"/>
      <c r="E6" s="175"/>
      <c r="F6" s="175"/>
      <c r="G6" s="175"/>
      <c r="H6" s="175"/>
      <c r="I6" s="175"/>
      <c r="J6" s="175"/>
      <c r="K6" s="49"/>
      <c r="L6" s="49"/>
    </row>
    <row r="7" spans="1:14" ht="48" customHeight="1" x14ac:dyDescent="0.25">
      <c r="A7" s="2" t="s">
        <v>0</v>
      </c>
      <c r="B7" s="3" t="s">
        <v>7</v>
      </c>
      <c r="C7" s="3" t="s">
        <v>6</v>
      </c>
      <c r="D7" s="3" t="s">
        <v>8</v>
      </c>
      <c r="E7" s="3" t="s">
        <v>168</v>
      </c>
      <c r="F7" s="3" t="s">
        <v>174</v>
      </c>
      <c r="G7" s="3" t="s">
        <v>175</v>
      </c>
      <c r="H7" s="3" t="s">
        <v>9</v>
      </c>
      <c r="I7" s="3" t="s">
        <v>176</v>
      </c>
      <c r="J7" s="3" t="s">
        <v>10</v>
      </c>
      <c r="L7" s="48"/>
      <c r="M7" s="48"/>
    </row>
    <row r="8" spans="1:14" ht="24" x14ac:dyDescent="0.25">
      <c r="A8" s="38">
        <v>1</v>
      </c>
      <c r="B8" s="60" t="s">
        <v>197</v>
      </c>
      <c r="C8" s="10" t="str">
        <f>"N592/2017DT"</f>
        <v>N592/2017DT</v>
      </c>
      <c r="D8" s="56">
        <v>43084</v>
      </c>
      <c r="E8" s="56">
        <v>43090</v>
      </c>
      <c r="F8" s="8">
        <v>11250</v>
      </c>
      <c r="G8" s="8">
        <v>14062.5</v>
      </c>
      <c r="H8" s="56">
        <v>43090</v>
      </c>
      <c r="I8" s="24">
        <v>14062.5</v>
      </c>
      <c r="J8" s="77"/>
    </row>
    <row r="9" spans="1:14" ht="24" x14ac:dyDescent="0.25">
      <c r="A9" s="115">
        <v>2</v>
      </c>
      <c r="B9" s="60" t="s">
        <v>17</v>
      </c>
      <c r="C9" s="10" t="str">
        <f>"NAR.BR. 1949/2017"</f>
        <v>NAR.BR. 1949/2017</v>
      </c>
      <c r="D9" s="56">
        <v>43081</v>
      </c>
      <c r="E9" s="56">
        <v>43083</v>
      </c>
      <c r="F9" s="8">
        <v>7360</v>
      </c>
      <c r="G9" s="8">
        <v>9200</v>
      </c>
      <c r="H9" s="56">
        <v>43100</v>
      </c>
      <c r="I9" s="24">
        <v>9200</v>
      </c>
      <c r="J9" s="77"/>
    </row>
    <row r="10" spans="1:14" x14ac:dyDescent="0.25">
      <c r="A10" s="115">
        <v>3</v>
      </c>
      <c r="B10" s="60" t="s">
        <v>473</v>
      </c>
      <c r="C10" s="10" t="str">
        <f>"148/2017"</f>
        <v>148/2017</v>
      </c>
      <c r="D10" s="56">
        <v>43070</v>
      </c>
      <c r="E10" s="56">
        <v>43073</v>
      </c>
      <c r="F10" s="8">
        <v>13034</v>
      </c>
      <c r="G10" s="8">
        <v>16292.5</v>
      </c>
      <c r="H10" s="56">
        <v>43100</v>
      </c>
      <c r="I10" s="24">
        <v>16292.5</v>
      </c>
      <c r="J10" s="77"/>
    </row>
    <row r="11" spans="1:14" ht="24" x14ac:dyDescent="0.25">
      <c r="A11" s="115">
        <v>4</v>
      </c>
      <c r="B11" s="60" t="s">
        <v>474</v>
      </c>
      <c r="C11" s="10" t="str">
        <f>"NARUDŽBENICA BR.1697"</f>
        <v>NARUDŽBENICA BR.1697</v>
      </c>
      <c r="D11" s="56">
        <v>43083</v>
      </c>
      <c r="E11" s="56">
        <v>43100</v>
      </c>
      <c r="F11" s="8">
        <v>3677</v>
      </c>
      <c r="G11" s="8">
        <v>4596.25</v>
      </c>
      <c r="H11" s="56">
        <v>43100</v>
      </c>
      <c r="I11" s="24">
        <v>4596.25</v>
      </c>
      <c r="J11" s="77"/>
    </row>
    <row r="12" spans="1:14" ht="24" x14ac:dyDescent="0.25">
      <c r="A12" s="115">
        <v>5</v>
      </c>
      <c r="B12" s="60" t="s">
        <v>197</v>
      </c>
      <c r="C12" s="10" t="str">
        <f>"N550/2017DT"</f>
        <v>N550/2017DT</v>
      </c>
      <c r="D12" s="56">
        <v>43067</v>
      </c>
      <c r="E12" s="56">
        <v>43102</v>
      </c>
      <c r="F12" s="8">
        <v>112960.18</v>
      </c>
      <c r="G12" s="8">
        <v>141200.23000000001</v>
      </c>
      <c r="H12" s="56">
        <v>43089</v>
      </c>
      <c r="I12" s="24">
        <v>93227.125</v>
      </c>
      <c r="J12" s="77"/>
    </row>
    <row r="13" spans="1:14" ht="24" x14ac:dyDescent="0.25">
      <c r="A13" s="115">
        <v>6</v>
      </c>
      <c r="B13" s="60" t="s">
        <v>197</v>
      </c>
      <c r="C13" s="10" t="str">
        <f>"N498/2017DT"</f>
        <v>N498/2017DT</v>
      </c>
      <c r="D13" s="56">
        <v>43045</v>
      </c>
      <c r="E13" s="56">
        <v>43048</v>
      </c>
      <c r="F13" s="8">
        <v>10770</v>
      </c>
      <c r="G13" s="8">
        <v>13462.5</v>
      </c>
      <c r="H13" s="56">
        <v>43048</v>
      </c>
      <c r="I13" s="24">
        <v>13462.5</v>
      </c>
      <c r="J13" s="77"/>
    </row>
    <row r="14" spans="1:14" ht="24" x14ac:dyDescent="0.25">
      <c r="A14" s="115">
        <v>7</v>
      </c>
      <c r="B14" s="60" t="s">
        <v>475</v>
      </c>
      <c r="C14" s="10" t="str">
        <f>"400/2017"</f>
        <v>400/2017</v>
      </c>
      <c r="D14" s="56">
        <v>43041</v>
      </c>
      <c r="E14" s="56">
        <v>43042</v>
      </c>
      <c r="F14" s="8">
        <v>69288.94</v>
      </c>
      <c r="G14" s="8">
        <v>86611.18</v>
      </c>
      <c r="H14" s="56">
        <v>43100</v>
      </c>
      <c r="I14" s="24">
        <v>86611.175000000003</v>
      </c>
      <c r="J14" s="77"/>
    </row>
    <row r="15" spans="1:14" ht="24" x14ac:dyDescent="0.25">
      <c r="A15" s="115">
        <v>8</v>
      </c>
      <c r="B15" s="60" t="s">
        <v>17</v>
      </c>
      <c r="C15" s="10" t="str">
        <f>"NAR. BR. 1666/2017"</f>
        <v>NAR. BR. 1666/2017</v>
      </c>
      <c r="D15" s="56">
        <v>43039</v>
      </c>
      <c r="E15" s="56">
        <v>43040</v>
      </c>
      <c r="F15" s="8">
        <v>6940</v>
      </c>
      <c r="G15" s="8">
        <v>8675</v>
      </c>
      <c r="H15" s="56">
        <v>43100</v>
      </c>
      <c r="I15" s="24">
        <v>8675</v>
      </c>
      <c r="J15" s="77"/>
    </row>
    <row r="16" spans="1:14" ht="36" x14ac:dyDescent="0.25">
      <c r="A16" s="115">
        <v>9</v>
      </c>
      <c r="B16" s="60" t="s">
        <v>476</v>
      </c>
      <c r="C16" s="10" t="str">
        <f>"334-335"</f>
        <v>334-335</v>
      </c>
      <c r="D16" s="56">
        <v>43021</v>
      </c>
      <c r="E16" s="56">
        <v>43021</v>
      </c>
      <c r="F16" s="8">
        <v>0</v>
      </c>
      <c r="G16" s="8">
        <v>0</v>
      </c>
      <c r="H16" s="56">
        <v>43021</v>
      </c>
      <c r="I16" s="24">
        <v>39703.674999999996</v>
      </c>
      <c r="J16" s="77"/>
    </row>
    <row r="17" spans="1:10" ht="24" x14ac:dyDescent="0.25">
      <c r="A17" s="115">
        <v>10</v>
      </c>
      <c r="B17" s="60" t="s">
        <v>197</v>
      </c>
      <c r="C17" s="10" t="str">
        <f>"N422/2017DT"</f>
        <v>N422/2017DT</v>
      </c>
      <c r="D17" s="56">
        <v>43011</v>
      </c>
      <c r="E17" s="56">
        <v>43061</v>
      </c>
      <c r="F17" s="8">
        <v>106102.33</v>
      </c>
      <c r="G17" s="8">
        <v>132627.91</v>
      </c>
      <c r="H17" s="56">
        <v>43061</v>
      </c>
      <c r="I17" s="24">
        <v>132627.91250000001</v>
      </c>
      <c r="J17" s="77"/>
    </row>
    <row r="18" spans="1:10" ht="24" x14ac:dyDescent="0.25">
      <c r="A18" s="115">
        <v>11</v>
      </c>
      <c r="B18" s="60" t="s">
        <v>477</v>
      </c>
      <c r="C18" s="10" t="str">
        <f>"INA-UG-DMS-1053683"</f>
        <v>INA-UG-DMS-1053683</v>
      </c>
      <c r="D18" s="56">
        <v>42984</v>
      </c>
      <c r="E18" s="56">
        <v>43495</v>
      </c>
      <c r="F18" s="8">
        <v>67338.7</v>
      </c>
      <c r="G18" s="8">
        <v>84173.38</v>
      </c>
      <c r="H18" s="56">
        <v>43100</v>
      </c>
      <c r="I18" s="24">
        <v>27782.375</v>
      </c>
      <c r="J18" s="77"/>
    </row>
    <row r="19" spans="1:10" x14ac:dyDescent="0.25">
      <c r="A19" s="115">
        <v>12</v>
      </c>
      <c r="B19" s="60" t="s">
        <v>478</v>
      </c>
      <c r="C19" s="10" t="str">
        <f>"8-II-8/2017"</f>
        <v>8-II-8/2017</v>
      </c>
      <c r="D19" s="56">
        <v>42996</v>
      </c>
      <c r="E19" s="56">
        <v>42999</v>
      </c>
      <c r="F19" s="8">
        <v>3356</v>
      </c>
      <c r="G19" s="8">
        <v>4195</v>
      </c>
      <c r="H19" s="56">
        <v>43008</v>
      </c>
      <c r="I19" s="24">
        <v>4195</v>
      </c>
      <c r="J19" s="77"/>
    </row>
    <row r="20" spans="1:10" ht="24" x14ac:dyDescent="0.25">
      <c r="A20" s="115">
        <v>13</v>
      </c>
      <c r="B20" s="60" t="s">
        <v>197</v>
      </c>
      <c r="C20" s="10" t="str">
        <f>"N301/2017DT"</f>
        <v>N301/2017DT</v>
      </c>
      <c r="D20" s="56">
        <v>42928</v>
      </c>
      <c r="E20" s="56">
        <v>42933</v>
      </c>
      <c r="F20" s="8">
        <v>9228</v>
      </c>
      <c r="G20" s="8">
        <v>11535</v>
      </c>
      <c r="H20" s="56">
        <v>42933</v>
      </c>
      <c r="I20" s="24">
        <v>11535</v>
      </c>
      <c r="J20" s="77"/>
    </row>
    <row r="21" spans="1:10" ht="36" x14ac:dyDescent="0.25">
      <c r="A21" s="115">
        <v>14</v>
      </c>
      <c r="B21" s="60" t="s">
        <v>479</v>
      </c>
      <c r="C21" s="10" t="str">
        <f>"INA-UG-DMS-1052356 (UG-5045719"</f>
        <v>INA-UG-DMS-1052356 (UG-5045719</v>
      </c>
      <c r="D21" s="56">
        <v>42916</v>
      </c>
      <c r="E21" s="56">
        <v>43284</v>
      </c>
      <c r="F21" s="8">
        <v>0</v>
      </c>
      <c r="G21" s="8">
        <v>0</v>
      </c>
      <c r="H21" s="56">
        <v>43100</v>
      </c>
      <c r="I21" s="24">
        <v>0</v>
      </c>
      <c r="J21" s="77"/>
    </row>
    <row r="22" spans="1:10" ht="24" x14ac:dyDescent="0.25">
      <c r="A22" s="115">
        <v>15</v>
      </c>
      <c r="B22" s="60" t="s">
        <v>480</v>
      </c>
      <c r="C22" s="10" t="str">
        <f>"406-09/17-01/02"</f>
        <v>406-09/17-01/02</v>
      </c>
      <c r="D22" s="56">
        <v>42870</v>
      </c>
      <c r="E22" s="56">
        <v>43495</v>
      </c>
      <c r="F22" s="8">
        <v>133344</v>
      </c>
      <c r="G22" s="8">
        <v>166680</v>
      </c>
      <c r="H22" s="56">
        <v>43100</v>
      </c>
      <c r="I22" s="24">
        <v>0</v>
      </c>
      <c r="J22" s="77"/>
    </row>
    <row r="23" spans="1:10" ht="24" x14ac:dyDescent="0.25">
      <c r="A23" s="115">
        <v>16</v>
      </c>
      <c r="B23" s="60" t="s">
        <v>481</v>
      </c>
      <c r="C23" s="10" t="str">
        <f>"NAB-VV-02/17"</f>
        <v>NAB-VV-02/17</v>
      </c>
      <c r="D23" s="56">
        <v>42868</v>
      </c>
      <c r="E23" s="56">
        <v>43495</v>
      </c>
      <c r="F23" s="8">
        <v>3899200</v>
      </c>
      <c r="G23" s="8">
        <v>4874000</v>
      </c>
      <c r="H23" s="56">
        <v>43100</v>
      </c>
      <c r="I23" s="24">
        <v>1111571.825</v>
      </c>
      <c r="J23" s="70"/>
    </row>
    <row r="24" spans="1:10" ht="24" x14ac:dyDescent="0.25">
      <c r="A24" s="115">
        <v>17</v>
      </c>
      <c r="B24" s="60" t="s">
        <v>482</v>
      </c>
      <c r="C24" s="10" t="str">
        <f>"41 SU-412/2017"</f>
        <v>41 SU-412/2017</v>
      </c>
      <c r="D24" s="56">
        <v>42830</v>
      </c>
      <c r="E24" s="56">
        <v>43220</v>
      </c>
      <c r="F24" s="8">
        <v>0</v>
      </c>
      <c r="G24" s="8">
        <v>0</v>
      </c>
      <c r="H24" s="56">
        <v>43100</v>
      </c>
      <c r="I24" s="24">
        <v>31412.5</v>
      </c>
      <c r="J24" s="70"/>
    </row>
    <row r="25" spans="1:10" ht="24" x14ac:dyDescent="0.25">
      <c r="A25" s="115">
        <v>18</v>
      </c>
      <c r="B25" s="60" t="s">
        <v>483</v>
      </c>
      <c r="C25" s="10" t="str">
        <f>"INA-UG-DMS-1051061"</f>
        <v>INA-UG-DMS-1051061</v>
      </c>
      <c r="D25" s="56">
        <v>42920</v>
      </c>
      <c r="E25" s="56">
        <v>43495</v>
      </c>
      <c r="F25" s="8">
        <v>0</v>
      </c>
      <c r="G25" s="8">
        <v>0</v>
      </c>
      <c r="H25" s="56">
        <v>43100</v>
      </c>
      <c r="I25" s="24">
        <v>0</v>
      </c>
      <c r="J25" s="70"/>
    </row>
    <row r="26" spans="1:10" ht="24" x14ac:dyDescent="0.25">
      <c r="A26" s="115">
        <v>19</v>
      </c>
      <c r="B26" s="60" t="s">
        <v>197</v>
      </c>
      <c r="C26" s="10" t="str">
        <f>"N193/2017DT"</f>
        <v>N193/2017DT</v>
      </c>
      <c r="D26" s="56">
        <v>42853</v>
      </c>
      <c r="E26" s="56">
        <v>42863</v>
      </c>
      <c r="F26" s="8">
        <v>5879.8</v>
      </c>
      <c r="G26" s="8">
        <v>7349.75</v>
      </c>
      <c r="H26" s="56">
        <v>42863</v>
      </c>
      <c r="I26" s="24">
        <v>7349.75</v>
      </c>
      <c r="J26" s="70"/>
    </row>
    <row r="27" spans="1:10" ht="26.25" customHeight="1" x14ac:dyDescent="0.25">
      <c r="A27" s="115">
        <v>20</v>
      </c>
      <c r="B27" s="116" t="s">
        <v>484</v>
      </c>
      <c r="C27" s="117" t="str">
        <f>"3-2016-I"</f>
        <v>3-2016-I</v>
      </c>
      <c r="D27" s="118">
        <v>42765</v>
      </c>
      <c r="E27" s="118">
        <v>43466</v>
      </c>
      <c r="F27" s="121">
        <v>50232</v>
      </c>
      <c r="G27" s="121">
        <v>62790</v>
      </c>
      <c r="H27" s="118">
        <v>43100</v>
      </c>
      <c r="I27" s="61">
        <v>34860</v>
      </c>
      <c r="J27" s="70"/>
    </row>
    <row r="28" spans="1:10" ht="36" x14ac:dyDescent="0.25">
      <c r="A28" s="115">
        <v>21</v>
      </c>
      <c r="B28" s="60" t="s">
        <v>485</v>
      </c>
      <c r="C28" s="10" t="str">
        <f>"KLASA: 910-01/17-01/25"</f>
        <v>KLASA: 910-01/17-01/25</v>
      </c>
      <c r="D28" s="56">
        <v>42835</v>
      </c>
      <c r="E28" s="56">
        <v>43495</v>
      </c>
      <c r="F28" s="8">
        <v>239712</v>
      </c>
      <c r="G28" s="8">
        <v>299640</v>
      </c>
      <c r="H28" s="56">
        <v>43100</v>
      </c>
      <c r="I28" s="24">
        <v>27939.3125</v>
      </c>
      <c r="J28" s="70"/>
    </row>
    <row r="29" spans="1:10" ht="24" x14ac:dyDescent="0.25">
      <c r="A29" s="115">
        <v>22</v>
      </c>
      <c r="B29" s="60" t="s">
        <v>18</v>
      </c>
      <c r="C29" s="10" t="str">
        <f>"SNUG-203-17-0017"</f>
        <v>SNUG-203-17-0017</v>
      </c>
      <c r="D29" s="56">
        <v>42815</v>
      </c>
      <c r="E29" s="56">
        <v>43100</v>
      </c>
      <c r="F29" s="8">
        <v>19977482</v>
      </c>
      <c r="G29" s="8">
        <v>24971852.5</v>
      </c>
      <c r="H29" s="56">
        <v>43100</v>
      </c>
      <c r="I29" s="24">
        <v>14737530.575000001</v>
      </c>
      <c r="J29" s="70"/>
    </row>
    <row r="30" spans="1:10" ht="24" x14ac:dyDescent="0.25">
      <c r="A30" s="115">
        <v>23</v>
      </c>
      <c r="B30" s="60" t="s">
        <v>486</v>
      </c>
      <c r="C30" s="10" t="str">
        <f>"NARUDŽBENICA LUEL"</f>
        <v>NARUDŽBENICA LUEL</v>
      </c>
      <c r="D30" s="56">
        <v>42825</v>
      </c>
      <c r="E30" s="56">
        <v>43555</v>
      </c>
      <c r="F30" s="8">
        <v>80000</v>
      </c>
      <c r="G30" s="8">
        <v>100000</v>
      </c>
      <c r="H30" s="56">
        <v>43100</v>
      </c>
      <c r="I30" s="24">
        <v>36540.974999999999</v>
      </c>
      <c r="J30" s="70"/>
    </row>
    <row r="31" spans="1:10" ht="24" x14ac:dyDescent="0.25">
      <c r="A31" s="115">
        <v>24</v>
      </c>
      <c r="B31" s="60" t="s">
        <v>487</v>
      </c>
      <c r="C31" s="10" t="str">
        <f>"N 100/2017"</f>
        <v>N 100/2017</v>
      </c>
      <c r="D31" s="56">
        <v>42838</v>
      </c>
      <c r="E31" s="56">
        <v>43495</v>
      </c>
      <c r="F31" s="8">
        <v>19315.29</v>
      </c>
      <c r="G31" s="8">
        <v>24144.11</v>
      </c>
      <c r="H31" s="56">
        <v>43021</v>
      </c>
      <c r="I31" s="24">
        <v>24144.112500000003</v>
      </c>
      <c r="J31" s="70"/>
    </row>
    <row r="32" spans="1:10" ht="24" x14ac:dyDescent="0.25">
      <c r="A32" s="115">
        <v>25</v>
      </c>
      <c r="B32" s="60" t="s">
        <v>475</v>
      </c>
      <c r="C32" s="10" t="str">
        <f>"118/2017"</f>
        <v>118/2017</v>
      </c>
      <c r="D32" s="56">
        <v>42815</v>
      </c>
      <c r="E32" s="56">
        <v>42817</v>
      </c>
      <c r="F32" s="8">
        <v>66726.649999999994</v>
      </c>
      <c r="G32" s="8">
        <v>83408.31</v>
      </c>
      <c r="H32" s="56">
        <v>42825</v>
      </c>
      <c r="I32" s="24">
        <v>83408.3125</v>
      </c>
      <c r="J32" s="70"/>
    </row>
    <row r="33" spans="1:10" ht="36" x14ac:dyDescent="0.25">
      <c r="A33" s="115">
        <v>26</v>
      </c>
      <c r="B33" s="60" t="s">
        <v>488</v>
      </c>
      <c r="C33" s="10" t="str">
        <f>"UG-50457193-00095/17"</f>
        <v>UG-50457193-00095/17</v>
      </c>
      <c r="D33" s="56">
        <v>42815</v>
      </c>
      <c r="E33" s="56">
        <v>43174</v>
      </c>
      <c r="F33" s="8">
        <v>11000</v>
      </c>
      <c r="G33" s="8">
        <v>13750</v>
      </c>
      <c r="H33" s="56">
        <v>43100</v>
      </c>
      <c r="I33" s="24">
        <v>0</v>
      </c>
      <c r="J33" s="70"/>
    </row>
    <row r="34" spans="1:10" x14ac:dyDescent="0.25">
      <c r="A34" s="115">
        <v>27</v>
      </c>
      <c r="B34" s="60" t="s">
        <v>473</v>
      </c>
      <c r="C34" s="10" t="str">
        <f>"038/2017"</f>
        <v>038/2017</v>
      </c>
      <c r="D34" s="56">
        <v>42807</v>
      </c>
      <c r="E34" s="56">
        <v>42807</v>
      </c>
      <c r="F34" s="8">
        <v>12544</v>
      </c>
      <c r="G34" s="8">
        <v>15680</v>
      </c>
      <c r="H34" s="56">
        <v>42809</v>
      </c>
      <c r="I34" s="24">
        <v>15680</v>
      </c>
      <c r="J34" s="70"/>
    </row>
    <row r="35" spans="1:10" ht="36" x14ac:dyDescent="0.25">
      <c r="A35" s="115">
        <v>28</v>
      </c>
      <c r="B35" s="60" t="s">
        <v>97</v>
      </c>
      <c r="C35" s="10" t="str">
        <f>"030-01/17-04/6"</f>
        <v>030-01/17-04/6</v>
      </c>
      <c r="D35" s="56">
        <v>42765</v>
      </c>
      <c r="E35" s="56">
        <v>43100</v>
      </c>
      <c r="F35" s="8">
        <v>5716095</v>
      </c>
      <c r="G35" s="8">
        <v>7145118.75</v>
      </c>
      <c r="H35" s="56">
        <v>43100</v>
      </c>
      <c r="I35" s="24">
        <v>5460294.1624999996</v>
      </c>
      <c r="J35" s="70"/>
    </row>
    <row r="36" spans="1:10" ht="36" x14ac:dyDescent="0.25">
      <c r="A36" s="115">
        <v>29</v>
      </c>
      <c r="B36" s="60" t="s">
        <v>191</v>
      </c>
      <c r="C36" s="10" t="str">
        <f>"MFINKL.406-01/16-01/143,UR6"</f>
        <v>MFINKL.406-01/16-01/143,UR6</v>
      </c>
      <c r="D36" s="56">
        <v>42811</v>
      </c>
      <c r="E36" s="56">
        <v>43165</v>
      </c>
      <c r="F36" s="8">
        <v>0</v>
      </c>
      <c r="G36" s="8">
        <v>0</v>
      </c>
      <c r="H36" s="56">
        <v>43100</v>
      </c>
      <c r="I36" s="24">
        <v>394110.23749999999</v>
      </c>
      <c r="J36" s="70"/>
    </row>
    <row r="37" spans="1:10" ht="36" x14ac:dyDescent="0.25">
      <c r="A37" s="115">
        <v>30</v>
      </c>
      <c r="B37" s="60" t="s">
        <v>210</v>
      </c>
      <c r="C37" s="10" t="str">
        <f>"KL:406-01/17-01/31,URBR:17-6"</f>
        <v>KL:406-01/17-01/31,URBR:17-6</v>
      </c>
      <c r="D37" s="56">
        <v>42780</v>
      </c>
      <c r="E37" s="56">
        <v>43160</v>
      </c>
      <c r="F37" s="8">
        <v>0</v>
      </c>
      <c r="G37" s="8">
        <v>0</v>
      </c>
      <c r="H37" s="56">
        <v>43100</v>
      </c>
      <c r="I37" s="24">
        <v>0</v>
      </c>
      <c r="J37" s="70"/>
    </row>
    <row r="38" spans="1:10" ht="24" x14ac:dyDescent="0.25">
      <c r="A38" s="115">
        <v>31</v>
      </c>
      <c r="B38" s="60" t="s">
        <v>489</v>
      </c>
      <c r="C38" s="10" t="str">
        <f>"INA-UG-DMS-1049222"</f>
        <v>INA-UG-DMS-1049222</v>
      </c>
      <c r="D38" s="56">
        <v>42774</v>
      </c>
      <c r="E38" s="56">
        <v>43495</v>
      </c>
      <c r="F38" s="8">
        <v>9999</v>
      </c>
      <c r="G38" s="8">
        <v>12498.75</v>
      </c>
      <c r="H38" s="56">
        <v>43100</v>
      </c>
      <c r="I38" s="24">
        <v>0</v>
      </c>
      <c r="J38" s="70"/>
    </row>
    <row r="39" spans="1:10" ht="24" x14ac:dyDescent="0.25">
      <c r="A39" s="115">
        <v>32</v>
      </c>
      <c r="B39" s="60" t="s">
        <v>490</v>
      </c>
      <c r="C39" s="10" t="str">
        <f>"INA-UG-DMS-1049463"</f>
        <v>INA-UG-DMS-1049463</v>
      </c>
      <c r="D39" s="56">
        <v>42788</v>
      </c>
      <c r="E39" s="56">
        <v>43100</v>
      </c>
      <c r="F39" s="8">
        <v>66660</v>
      </c>
      <c r="G39" s="8">
        <v>83325</v>
      </c>
      <c r="H39" s="56">
        <v>43100</v>
      </c>
      <c r="I39" s="24">
        <v>194959.86250000002</v>
      </c>
      <c r="J39" s="70"/>
    </row>
    <row r="40" spans="1:10" ht="24" x14ac:dyDescent="0.25">
      <c r="A40" s="115">
        <v>33</v>
      </c>
      <c r="B40" s="60" t="s">
        <v>491</v>
      </c>
      <c r="C40" s="10" t="str">
        <f>"INA-UG-DMS-1049412"</f>
        <v>INA-UG-DMS-1049412</v>
      </c>
      <c r="D40" s="56">
        <v>42786</v>
      </c>
      <c r="E40" s="56">
        <v>43495</v>
      </c>
      <c r="F40" s="8">
        <v>0</v>
      </c>
      <c r="G40" s="8">
        <v>0</v>
      </c>
      <c r="H40" s="56">
        <v>43100</v>
      </c>
      <c r="I40" s="24">
        <v>0</v>
      </c>
      <c r="J40" s="77"/>
    </row>
    <row r="41" spans="1:10" ht="24" x14ac:dyDescent="0.25">
      <c r="A41" s="115">
        <v>34</v>
      </c>
      <c r="B41" s="60" t="s">
        <v>492</v>
      </c>
      <c r="C41" s="10" t="str">
        <f>"INA LOŽ ULJE  2017"</f>
        <v>INA LOŽ ULJE  2017</v>
      </c>
      <c r="D41" s="56">
        <v>42776</v>
      </c>
      <c r="E41" s="56">
        <v>43495</v>
      </c>
      <c r="F41" s="8">
        <v>30000</v>
      </c>
      <c r="G41" s="8">
        <v>37500</v>
      </c>
      <c r="H41" s="56">
        <v>43100</v>
      </c>
      <c r="I41" s="24">
        <v>7900</v>
      </c>
      <c r="J41" s="77"/>
    </row>
    <row r="42" spans="1:10" ht="24" x14ac:dyDescent="0.25">
      <c r="A42" s="115">
        <v>35</v>
      </c>
      <c r="B42" s="60" t="s">
        <v>193</v>
      </c>
      <c r="C42" s="10" t="str">
        <f>"9-9-17-1"</f>
        <v>9-9-17-1</v>
      </c>
      <c r="D42" s="56">
        <v>42801</v>
      </c>
      <c r="E42" s="56">
        <v>43495</v>
      </c>
      <c r="F42" s="8">
        <v>46662</v>
      </c>
      <c r="G42" s="8">
        <v>58327.5</v>
      </c>
      <c r="H42" s="56">
        <v>43100</v>
      </c>
      <c r="I42" s="24">
        <v>12633.75</v>
      </c>
      <c r="J42" s="77"/>
    </row>
    <row r="43" spans="1:10" ht="24" x14ac:dyDescent="0.25">
      <c r="A43" s="115">
        <v>36</v>
      </c>
      <c r="B43" s="60" t="s">
        <v>493</v>
      </c>
      <c r="C43" s="10" t="str">
        <f>"NARUDŽBENICA 22/2017"</f>
        <v>NARUDŽBENICA 22/2017</v>
      </c>
      <c r="D43" s="56">
        <v>42789</v>
      </c>
      <c r="E43" s="56">
        <v>43495</v>
      </c>
      <c r="F43" s="8">
        <v>3596</v>
      </c>
      <c r="G43" s="8">
        <v>4495</v>
      </c>
      <c r="H43" s="56">
        <v>43100</v>
      </c>
      <c r="I43" s="24">
        <v>18101.25</v>
      </c>
      <c r="J43" s="77"/>
    </row>
    <row r="44" spans="1:10" ht="24" x14ac:dyDescent="0.25">
      <c r="A44" s="115">
        <v>37</v>
      </c>
      <c r="B44" s="60" t="s">
        <v>494</v>
      </c>
      <c r="C44" s="10" t="str">
        <f>"3/2016"</f>
        <v>3/2016</v>
      </c>
      <c r="D44" s="56">
        <v>42788</v>
      </c>
      <c r="E44" s="56">
        <v>43495</v>
      </c>
      <c r="F44" s="8">
        <v>0</v>
      </c>
      <c r="G44" s="8">
        <v>0</v>
      </c>
      <c r="H44" s="56">
        <v>43100</v>
      </c>
      <c r="I44" s="24">
        <v>53903.974999999999</v>
      </c>
      <c r="J44" s="77"/>
    </row>
    <row r="45" spans="1:10" ht="24" x14ac:dyDescent="0.25">
      <c r="A45" s="115">
        <v>38</v>
      </c>
      <c r="B45" s="60" t="s">
        <v>495</v>
      </c>
      <c r="C45" s="10" t="str">
        <f>"INA-UG-DMS-1049427"</f>
        <v>INA-UG-DMS-1049427</v>
      </c>
      <c r="D45" s="56">
        <v>42794</v>
      </c>
      <c r="E45" s="56">
        <v>43495</v>
      </c>
      <c r="F45" s="8">
        <v>499950</v>
      </c>
      <c r="G45" s="8">
        <v>624937.5</v>
      </c>
      <c r="H45" s="56">
        <v>43100</v>
      </c>
      <c r="I45" s="24">
        <v>89372.537500000006</v>
      </c>
      <c r="J45" s="77"/>
    </row>
    <row r="46" spans="1:10" ht="24" x14ac:dyDescent="0.25">
      <c r="A46" s="115">
        <v>39</v>
      </c>
      <c r="B46" s="60" t="s">
        <v>496</v>
      </c>
      <c r="C46" s="10" t="str">
        <f>"UG-50457193-00187/17"</f>
        <v>UG-50457193-00187/17</v>
      </c>
      <c r="D46" s="56">
        <v>42790</v>
      </c>
      <c r="E46" s="56">
        <v>43100</v>
      </c>
      <c r="F46" s="8">
        <v>48740</v>
      </c>
      <c r="G46" s="8">
        <v>60925</v>
      </c>
      <c r="H46" s="56">
        <v>43100</v>
      </c>
      <c r="I46" s="24">
        <v>62565</v>
      </c>
      <c r="J46" s="77"/>
    </row>
    <row r="47" spans="1:10" ht="36" x14ac:dyDescent="0.25">
      <c r="A47" s="115">
        <v>40</v>
      </c>
      <c r="B47" s="60" t="s">
        <v>497</v>
      </c>
      <c r="C47" s="10" t="str">
        <f>"41 SU-95/17  50457193-00141/17"</f>
        <v>41 SU-95/17  50457193-00141/17</v>
      </c>
      <c r="D47" s="56">
        <v>42786</v>
      </c>
      <c r="E47" s="56">
        <v>43495</v>
      </c>
      <c r="F47" s="8">
        <v>266640</v>
      </c>
      <c r="G47" s="8">
        <v>333300</v>
      </c>
      <c r="H47" s="56">
        <v>43100</v>
      </c>
      <c r="I47" s="24">
        <v>32141.574999999997</v>
      </c>
      <c r="J47" s="77"/>
    </row>
    <row r="48" spans="1:10" ht="24" x14ac:dyDescent="0.25">
      <c r="A48" s="115">
        <v>41</v>
      </c>
      <c r="B48" s="60" t="s">
        <v>197</v>
      </c>
      <c r="C48" s="10" t="str">
        <f>"N037/2017DT"</f>
        <v>N037/2017DT</v>
      </c>
      <c r="D48" s="56">
        <v>42786</v>
      </c>
      <c r="E48" s="56">
        <v>42824</v>
      </c>
      <c r="F48" s="8">
        <v>120000</v>
      </c>
      <c r="G48" s="8">
        <v>150000</v>
      </c>
      <c r="H48" s="56">
        <v>42824</v>
      </c>
      <c r="I48" s="24">
        <v>130981.3125</v>
      </c>
      <c r="J48" s="77"/>
    </row>
    <row r="49" spans="1:10" ht="24" x14ac:dyDescent="0.25">
      <c r="A49" s="115">
        <v>42</v>
      </c>
      <c r="B49" s="60" t="s">
        <v>498</v>
      </c>
      <c r="C49" s="10" t="str">
        <f>"UG-50457193-00146/17"</f>
        <v>UG-50457193-00146/17</v>
      </c>
      <c r="D49" s="56">
        <v>42782</v>
      </c>
      <c r="E49" s="56">
        <v>43148</v>
      </c>
      <c r="F49" s="8">
        <v>315000</v>
      </c>
      <c r="G49" s="8">
        <v>393750</v>
      </c>
      <c r="H49" s="56">
        <v>43100</v>
      </c>
      <c r="I49" s="24">
        <v>186643.9375</v>
      </c>
      <c r="J49" s="77"/>
    </row>
    <row r="50" spans="1:10" ht="24" x14ac:dyDescent="0.25">
      <c r="A50" s="115">
        <v>43</v>
      </c>
      <c r="B50" s="60" t="s">
        <v>499</v>
      </c>
      <c r="C50" s="10" t="str">
        <f>"UG-50457193-00145/17"</f>
        <v>UG-50457193-00145/17</v>
      </c>
      <c r="D50" s="56">
        <v>42782</v>
      </c>
      <c r="E50" s="56">
        <v>43148</v>
      </c>
      <c r="F50" s="8">
        <v>115000</v>
      </c>
      <c r="G50" s="8">
        <v>143750</v>
      </c>
      <c r="H50" s="56">
        <v>43100</v>
      </c>
      <c r="I50" s="24">
        <v>75047.875</v>
      </c>
      <c r="J50" s="77"/>
    </row>
    <row r="51" spans="1:10" ht="24" x14ac:dyDescent="0.25">
      <c r="A51" s="115">
        <v>44</v>
      </c>
      <c r="B51" s="60" t="s">
        <v>500</v>
      </c>
      <c r="C51" s="10" t="str">
        <f>"UG-50457193-00143/17"</f>
        <v>UG-50457193-00143/17</v>
      </c>
      <c r="D51" s="56">
        <v>42783</v>
      </c>
      <c r="E51" s="56">
        <v>43148</v>
      </c>
      <c r="F51" s="8">
        <v>80000</v>
      </c>
      <c r="G51" s="8">
        <v>100000</v>
      </c>
      <c r="H51" s="56">
        <v>43100</v>
      </c>
      <c r="I51" s="24">
        <v>44246.049999999996</v>
      </c>
      <c r="J51" s="77"/>
    </row>
    <row r="52" spans="1:10" x14ac:dyDescent="0.25">
      <c r="A52" s="115">
        <v>45</v>
      </c>
      <c r="B52" s="60" t="s">
        <v>501</v>
      </c>
      <c r="C52" s="10" t="str">
        <f>"NN 58/2017"</f>
        <v>NN 58/2017</v>
      </c>
      <c r="D52" s="56">
        <v>42773</v>
      </c>
      <c r="E52" s="56">
        <v>43100</v>
      </c>
      <c r="F52" s="8">
        <v>16853.86</v>
      </c>
      <c r="G52" s="8">
        <v>21067.33</v>
      </c>
      <c r="H52" s="56">
        <v>43100</v>
      </c>
      <c r="I52" s="24">
        <v>21067.325000000001</v>
      </c>
      <c r="J52" s="77"/>
    </row>
    <row r="53" spans="1:10" x14ac:dyDescent="0.25">
      <c r="A53" s="115">
        <v>46</v>
      </c>
      <c r="B53" s="60" t="s">
        <v>501</v>
      </c>
      <c r="C53" s="10" t="str">
        <f>"NN 288/17"</f>
        <v>NN 288/17</v>
      </c>
      <c r="D53" s="56">
        <v>43075</v>
      </c>
      <c r="E53" s="56">
        <v>43100</v>
      </c>
      <c r="F53" s="8">
        <v>25903.7</v>
      </c>
      <c r="G53" s="8">
        <v>32379.63</v>
      </c>
      <c r="H53" s="56">
        <v>43100</v>
      </c>
      <c r="I53" s="24">
        <v>32379.625</v>
      </c>
      <c r="J53" s="77"/>
    </row>
    <row r="54" spans="1:10" x14ac:dyDescent="0.25">
      <c r="A54" s="115">
        <v>47</v>
      </c>
      <c r="B54" s="60" t="s">
        <v>501</v>
      </c>
      <c r="C54" s="10" t="str">
        <f>"NN 27/2017"</f>
        <v>NN 27/2017</v>
      </c>
      <c r="D54" s="56">
        <v>42773</v>
      </c>
      <c r="E54" s="56">
        <v>43100</v>
      </c>
      <c r="F54" s="8">
        <v>17993.599999999999</v>
      </c>
      <c r="G54" s="8">
        <v>22492</v>
      </c>
      <c r="H54" s="56">
        <v>43100</v>
      </c>
      <c r="I54" s="24">
        <v>22492</v>
      </c>
      <c r="J54" s="77"/>
    </row>
    <row r="55" spans="1:10" ht="24" x14ac:dyDescent="0.25">
      <c r="A55" s="115">
        <v>48</v>
      </c>
      <c r="B55" s="60" t="s">
        <v>502</v>
      </c>
      <c r="C55" s="10" t="str">
        <f>"77/6/2017"</f>
        <v>77/6/2017</v>
      </c>
      <c r="D55" s="56">
        <v>42844</v>
      </c>
      <c r="E55" s="56">
        <v>43147</v>
      </c>
      <c r="F55" s="8">
        <v>150000</v>
      </c>
      <c r="G55" s="8">
        <v>187500</v>
      </c>
      <c r="H55" s="56">
        <v>43038</v>
      </c>
      <c r="I55" s="24">
        <v>62530.7</v>
      </c>
      <c r="J55" s="77"/>
    </row>
    <row r="56" spans="1:10" x14ac:dyDescent="0.25">
      <c r="A56" s="115">
        <v>49</v>
      </c>
      <c r="B56" s="60" t="s">
        <v>278</v>
      </c>
      <c r="C56" s="10" t="str">
        <f>"45/2017"</f>
        <v>45/2017</v>
      </c>
      <c r="D56" s="56">
        <v>42780</v>
      </c>
      <c r="E56" s="56">
        <v>43146</v>
      </c>
      <c r="F56" s="8">
        <v>182315.1</v>
      </c>
      <c r="G56" s="8">
        <v>227893.88</v>
      </c>
      <c r="H56" s="56">
        <v>43100</v>
      </c>
      <c r="I56" s="24">
        <v>135907.21249999999</v>
      </c>
      <c r="J56" s="77"/>
    </row>
    <row r="57" spans="1:10" ht="24" x14ac:dyDescent="0.25">
      <c r="A57" s="115">
        <v>50</v>
      </c>
      <c r="B57" s="60" t="s">
        <v>503</v>
      </c>
      <c r="C57" s="10" t="str">
        <f>"50457193-00130/17"</f>
        <v>50457193-00130/17</v>
      </c>
      <c r="D57" s="56">
        <v>42780</v>
      </c>
      <c r="E57" s="56">
        <v>43130</v>
      </c>
      <c r="F57" s="8">
        <v>270000</v>
      </c>
      <c r="G57" s="8">
        <v>337500</v>
      </c>
      <c r="H57" s="56">
        <v>43100</v>
      </c>
      <c r="I57" s="24">
        <v>241400.46249999999</v>
      </c>
      <c r="J57" s="77"/>
    </row>
    <row r="58" spans="1:10" ht="24" x14ac:dyDescent="0.25">
      <c r="A58" s="115">
        <v>51</v>
      </c>
      <c r="B58" s="60" t="s">
        <v>504</v>
      </c>
      <c r="C58" s="10" t="str">
        <f>"INA-UG-DMS-1049302"</f>
        <v>INA-UG-DMS-1049302</v>
      </c>
      <c r="D58" s="56">
        <v>42779</v>
      </c>
      <c r="E58" s="56">
        <v>43146</v>
      </c>
      <c r="F58" s="8">
        <v>31000</v>
      </c>
      <c r="G58" s="8">
        <v>38750</v>
      </c>
      <c r="H58" s="56">
        <v>43100</v>
      </c>
      <c r="I58" s="24">
        <v>22391.25</v>
      </c>
      <c r="J58" s="77"/>
    </row>
    <row r="59" spans="1:10" ht="24" x14ac:dyDescent="0.25">
      <c r="A59" s="115">
        <v>52</v>
      </c>
      <c r="B59" s="60" t="s">
        <v>505</v>
      </c>
      <c r="C59" s="10" t="str">
        <f>"INA-UG-DMS-1049304"</f>
        <v>INA-UG-DMS-1049304</v>
      </c>
      <c r="D59" s="56">
        <v>42780</v>
      </c>
      <c r="E59" s="56">
        <v>43145</v>
      </c>
      <c r="F59" s="8">
        <v>999900</v>
      </c>
      <c r="G59" s="8">
        <v>1249875</v>
      </c>
      <c r="H59" s="56">
        <v>43100</v>
      </c>
      <c r="I59" s="24">
        <v>1016947.4624999999</v>
      </c>
      <c r="J59" s="77"/>
    </row>
    <row r="60" spans="1:10" ht="48" x14ac:dyDescent="0.25">
      <c r="A60" s="115">
        <v>53</v>
      </c>
      <c r="B60" s="60" t="s">
        <v>506</v>
      </c>
      <c r="C60" s="10" t="str">
        <f>"15/2017"</f>
        <v>15/2017</v>
      </c>
      <c r="D60" s="56">
        <v>42779</v>
      </c>
      <c r="E60" s="56">
        <v>42779</v>
      </c>
      <c r="F60" s="8">
        <v>14392</v>
      </c>
      <c r="G60" s="8">
        <v>17990</v>
      </c>
      <c r="H60" s="56">
        <v>43100</v>
      </c>
      <c r="I60" s="24">
        <v>48396.1875</v>
      </c>
      <c r="J60" s="77"/>
    </row>
    <row r="61" spans="1:10" ht="36" x14ac:dyDescent="0.25">
      <c r="A61" s="115">
        <v>54</v>
      </c>
      <c r="B61" s="60" t="s">
        <v>507</v>
      </c>
      <c r="C61" s="10" t="str">
        <f>"INA-UG-DMS-1049315 (00133/17)"</f>
        <v>INA-UG-DMS-1049315 (00133/17)</v>
      </c>
      <c r="D61" s="56">
        <v>42779</v>
      </c>
      <c r="E61" s="56">
        <v>43100</v>
      </c>
      <c r="F61" s="8">
        <v>125648.35</v>
      </c>
      <c r="G61" s="8">
        <v>157060.44</v>
      </c>
      <c r="H61" s="56">
        <v>43100</v>
      </c>
      <c r="I61" s="24">
        <v>198593.625</v>
      </c>
      <c r="J61" s="77"/>
    </row>
    <row r="62" spans="1:10" ht="24" x14ac:dyDescent="0.25">
      <c r="A62" s="115">
        <v>55</v>
      </c>
      <c r="B62" s="60" t="s">
        <v>508</v>
      </c>
      <c r="C62" s="10" t="str">
        <f>"UG-50457193-00122/17"</f>
        <v>UG-50457193-00122/17</v>
      </c>
      <c r="D62" s="56">
        <v>42779</v>
      </c>
      <c r="E62" s="56">
        <v>43144</v>
      </c>
      <c r="F62" s="8">
        <v>99990</v>
      </c>
      <c r="G62" s="8">
        <v>124987.5</v>
      </c>
      <c r="H62" s="56">
        <v>43100</v>
      </c>
      <c r="I62" s="24">
        <v>59449.525000000001</v>
      </c>
      <c r="J62" s="77"/>
    </row>
    <row r="63" spans="1:10" ht="36" x14ac:dyDescent="0.25">
      <c r="A63" s="115">
        <v>56</v>
      </c>
      <c r="B63" s="60" t="s">
        <v>509</v>
      </c>
      <c r="C63" s="10" t="str">
        <f>"INA(UG-50457193-00086/17)"</f>
        <v>INA(UG-50457193-00086/17)</v>
      </c>
      <c r="D63" s="56">
        <v>42779</v>
      </c>
      <c r="E63" s="56">
        <v>43100</v>
      </c>
      <c r="F63" s="8">
        <v>18000</v>
      </c>
      <c r="G63" s="8">
        <v>22500</v>
      </c>
      <c r="H63" s="56">
        <v>43100</v>
      </c>
      <c r="I63" s="24">
        <v>19249.224999999999</v>
      </c>
      <c r="J63" s="77"/>
    </row>
    <row r="64" spans="1:10" ht="24" x14ac:dyDescent="0.25">
      <c r="A64" s="115">
        <v>57</v>
      </c>
      <c r="B64" s="60" t="s">
        <v>510</v>
      </c>
      <c r="C64" s="10" t="str">
        <f>"UG-50457193-00107/17"</f>
        <v>UG-50457193-00107/17</v>
      </c>
      <c r="D64" s="56">
        <v>42774</v>
      </c>
      <c r="E64" s="56">
        <v>43495</v>
      </c>
      <c r="F64" s="8">
        <v>249975</v>
      </c>
      <c r="G64" s="8">
        <v>312468.75</v>
      </c>
      <c r="H64" s="56">
        <v>43100</v>
      </c>
      <c r="I64" s="24">
        <v>100754.925</v>
      </c>
      <c r="J64" s="77"/>
    </row>
    <row r="65" spans="1:10" ht="24" x14ac:dyDescent="0.25">
      <c r="A65" s="115">
        <v>58</v>
      </c>
      <c r="B65" s="60" t="s">
        <v>195</v>
      </c>
      <c r="C65" s="10" t="str">
        <f>"MUP-LU EL-GR-1-2017-1"</f>
        <v>MUP-LU EL-GR-1-2017-1</v>
      </c>
      <c r="D65" s="56">
        <v>42809</v>
      </c>
      <c r="E65" s="56">
        <v>43140</v>
      </c>
      <c r="F65" s="8">
        <v>2564743.5</v>
      </c>
      <c r="G65" s="8">
        <v>3205929.38</v>
      </c>
      <c r="H65" s="56">
        <v>43100</v>
      </c>
      <c r="I65" s="24">
        <v>6523516.8000000007</v>
      </c>
      <c r="J65" s="77"/>
    </row>
    <row r="66" spans="1:10" ht="24" x14ac:dyDescent="0.25">
      <c r="A66" s="115">
        <v>59</v>
      </c>
      <c r="B66" s="60" t="s">
        <v>511</v>
      </c>
      <c r="C66" s="10" t="str">
        <f>"INA- PLINSKO ULJE -1049218"</f>
        <v>INA- PLINSKO ULJE -1049218</v>
      </c>
      <c r="D66" s="56">
        <v>42773</v>
      </c>
      <c r="E66" s="56">
        <v>43495</v>
      </c>
      <c r="F66" s="8">
        <v>166850</v>
      </c>
      <c r="G66" s="8">
        <v>208562.5</v>
      </c>
      <c r="H66" s="56">
        <v>43100</v>
      </c>
      <c r="I66" s="24">
        <v>177202.63749999998</v>
      </c>
      <c r="J66" s="77"/>
    </row>
    <row r="67" spans="1:10" ht="24" x14ac:dyDescent="0.25">
      <c r="A67" s="115">
        <v>60</v>
      </c>
      <c r="B67" s="60" t="s">
        <v>512</v>
      </c>
      <c r="C67" s="10" t="str">
        <f>"INA-UG-DMS-1049246"</f>
        <v>INA-UG-DMS-1049246</v>
      </c>
      <c r="D67" s="56">
        <v>42776</v>
      </c>
      <c r="E67" s="56">
        <v>43141</v>
      </c>
      <c r="F67" s="8">
        <v>166500</v>
      </c>
      <c r="G67" s="8">
        <v>208125</v>
      </c>
      <c r="H67" s="56">
        <v>43100</v>
      </c>
      <c r="I67" s="24">
        <v>88498.787500000006</v>
      </c>
      <c r="J67" s="77"/>
    </row>
    <row r="68" spans="1:10" ht="36" x14ac:dyDescent="0.25">
      <c r="A68" s="115">
        <v>61</v>
      </c>
      <c r="B68" s="60" t="s">
        <v>513</v>
      </c>
      <c r="C68" s="10" t="str">
        <f>"INA-UG-50457193-00088/17"</f>
        <v>INA-UG-50457193-00088/17</v>
      </c>
      <c r="D68" s="56">
        <v>42773</v>
      </c>
      <c r="E68" s="56">
        <v>43495</v>
      </c>
      <c r="F68" s="8">
        <v>140000</v>
      </c>
      <c r="G68" s="8">
        <v>175000</v>
      </c>
      <c r="H68" s="56">
        <v>43100</v>
      </c>
      <c r="I68" s="24">
        <v>50757.762499999997</v>
      </c>
      <c r="J68" s="77"/>
    </row>
    <row r="69" spans="1:10" ht="24" x14ac:dyDescent="0.25">
      <c r="A69" s="115">
        <v>62</v>
      </c>
      <c r="B69" s="60" t="s">
        <v>514</v>
      </c>
      <c r="C69" s="10" t="str">
        <f>"UG-50457193-00116/17"</f>
        <v>UG-50457193-00116/17</v>
      </c>
      <c r="D69" s="56">
        <v>42775</v>
      </c>
      <c r="E69" s="56">
        <v>43141</v>
      </c>
      <c r="F69" s="8">
        <v>81414.259999999995</v>
      </c>
      <c r="G69" s="8">
        <v>101767.83</v>
      </c>
      <c r="H69" s="56">
        <v>43100</v>
      </c>
      <c r="I69" s="24">
        <v>67221.412499999991</v>
      </c>
      <c r="J69" s="77"/>
    </row>
    <row r="70" spans="1:10" x14ac:dyDescent="0.25">
      <c r="A70" s="115">
        <v>63</v>
      </c>
      <c r="B70" s="60" t="s">
        <v>515</v>
      </c>
      <c r="C70" s="10" t="str">
        <f>"DMS-1049280"</f>
        <v>DMS-1049280</v>
      </c>
      <c r="D70" s="56">
        <v>42776</v>
      </c>
      <c r="E70" s="56">
        <v>43141</v>
      </c>
      <c r="F70" s="8">
        <v>145530</v>
      </c>
      <c r="G70" s="8">
        <v>181912.5</v>
      </c>
      <c r="H70" s="56">
        <v>42825</v>
      </c>
      <c r="I70" s="24">
        <v>70303.3</v>
      </c>
      <c r="J70" s="77"/>
    </row>
    <row r="71" spans="1:10" ht="24" x14ac:dyDescent="0.25">
      <c r="A71" s="115">
        <v>64</v>
      </c>
      <c r="B71" s="60" t="s">
        <v>516</v>
      </c>
      <c r="C71" s="10" t="str">
        <f>"134/2017"</f>
        <v>134/2017</v>
      </c>
      <c r="D71" s="56">
        <v>42775</v>
      </c>
      <c r="E71" s="56">
        <v>43495</v>
      </c>
      <c r="F71" s="8">
        <v>122978</v>
      </c>
      <c r="G71" s="8">
        <v>153722.5</v>
      </c>
      <c r="H71" s="56">
        <v>43100</v>
      </c>
      <c r="I71" s="24">
        <v>68133.649999999994</v>
      </c>
      <c r="J71" s="77"/>
    </row>
    <row r="72" spans="1:10" ht="24" x14ac:dyDescent="0.25">
      <c r="A72" s="115">
        <v>65</v>
      </c>
      <c r="B72" s="60" t="s">
        <v>517</v>
      </c>
      <c r="C72" s="10" t="str">
        <f>"40038317 EURO LUEL"</f>
        <v>40038317 EURO LUEL</v>
      </c>
      <c r="D72" s="56">
        <v>42775</v>
      </c>
      <c r="E72" s="56">
        <v>43474</v>
      </c>
      <c r="F72" s="8">
        <v>25000</v>
      </c>
      <c r="G72" s="8">
        <v>31250</v>
      </c>
      <c r="H72" s="56">
        <v>43100</v>
      </c>
      <c r="I72" s="24">
        <v>11262.625</v>
      </c>
      <c r="J72" s="77"/>
    </row>
    <row r="73" spans="1:10" ht="36" x14ac:dyDescent="0.25">
      <c r="A73" s="115">
        <v>66</v>
      </c>
      <c r="B73" s="60" t="s">
        <v>518</v>
      </c>
      <c r="C73" s="10" t="str">
        <f>"77/2017"</f>
        <v>77/2017</v>
      </c>
      <c r="D73" s="56">
        <v>42783</v>
      </c>
      <c r="E73" s="56">
        <v>42778</v>
      </c>
      <c r="F73" s="8">
        <v>108510</v>
      </c>
      <c r="G73" s="8">
        <v>135637.5</v>
      </c>
      <c r="H73" s="56">
        <v>43100</v>
      </c>
      <c r="I73" s="24">
        <v>135637.5</v>
      </c>
      <c r="J73" s="77"/>
    </row>
    <row r="74" spans="1:10" ht="36" x14ac:dyDescent="0.25">
      <c r="A74" s="115">
        <v>67</v>
      </c>
      <c r="B74" s="60" t="s">
        <v>519</v>
      </c>
      <c r="C74" s="10" t="str">
        <f>"URBROJ:251-69-05-17-1"</f>
        <v>URBROJ:251-69-05-17-1</v>
      </c>
      <c r="D74" s="56">
        <v>42865</v>
      </c>
      <c r="E74" s="56">
        <v>43495</v>
      </c>
      <c r="F74" s="8">
        <v>150000</v>
      </c>
      <c r="G74" s="8">
        <v>187500</v>
      </c>
      <c r="H74" s="56">
        <v>43100</v>
      </c>
      <c r="I74" s="24">
        <v>92850.387499999997</v>
      </c>
      <c r="J74" s="77"/>
    </row>
    <row r="75" spans="1:10" ht="24" x14ac:dyDescent="0.25">
      <c r="A75" s="115">
        <v>68</v>
      </c>
      <c r="B75" s="60" t="s">
        <v>520</v>
      </c>
      <c r="C75" s="10" t="str">
        <f>"UG-50457193-00092/17"</f>
        <v>UG-50457193-00092/17</v>
      </c>
      <c r="D75" s="56">
        <v>42772</v>
      </c>
      <c r="E75" s="56">
        <v>43100</v>
      </c>
      <c r="F75" s="8">
        <v>239976</v>
      </c>
      <c r="G75" s="8">
        <v>299970</v>
      </c>
      <c r="H75" s="56">
        <v>43100</v>
      </c>
      <c r="I75" s="24">
        <v>179415.41249999998</v>
      </c>
      <c r="J75" s="77"/>
    </row>
    <row r="76" spans="1:10" x14ac:dyDescent="0.25">
      <c r="A76" s="115">
        <v>69</v>
      </c>
      <c r="B76" s="60" t="s">
        <v>521</v>
      </c>
      <c r="C76" s="10" t="str">
        <f>"LU-EL-01/2017."</f>
        <v>LU-EL-01/2017.</v>
      </c>
      <c r="D76" s="56">
        <v>42772</v>
      </c>
      <c r="E76" s="56">
        <v>43100</v>
      </c>
      <c r="F76" s="8">
        <v>13125</v>
      </c>
      <c r="G76" s="8">
        <v>16406.25</v>
      </c>
      <c r="H76" s="56">
        <v>43100</v>
      </c>
      <c r="I76" s="24">
        <v>6406.875</v>
      </c>
      <c r="J76" s="77"/>
    </row>
    <row r="77" spans="1:10" ht="24" x14ac:dyDescent="0.25">
      <c r="A77" s="115">
        <v>70</v>
      </c>
      <c r="B77" s="60" t="s">
        <v>522</v>
      </c>
      <c r="C77" s="10" t="str">
        <f>"INA-UG-DMS-1049175"</f>
        <v>INA-UG-DMS-1049175</v>
      </c>
      <c r="D77" s="56">
        <v>42765</v>
      </c>
      <c r="E77" s="56">
        <v>43495</v>
      </c>
      <c r="F77" s="8">
        <v>220000</v>
      </c>
      <c r="G77" s="8">
        <v>275000</v>
      </c>
      <c r="H77" s="56">
        <v>43100</v>
      </c>
      <c r="I77" s="24">
        <v>156562.71249999999</v>
      </c>
      <c r="J77" s="77"/>
    </row>
    <row r="78" spans="1:10" x14ac:dyDescent="0.25">
      <c r="A78" s="115">
        <v>71</v>
      </c>
      <c r="B78" s="60" t="s">
        <v>523</v>
      </c>
      <c r="C78" s="10" t="str">
        <f>"VV-1/2017"</f>
        <v>VV-1/2017</v>
      </c>
      <c r="D78" s="56">
        <v>42772</v>
      </c>
      <c r="E78" s="56">
        <v>43138</v>
      </c>
      <c r="F78" s="8">
        <v>695400</v>
      </c>
      <c r="G78" s="8">
        <v>869250</v>
      </c>
      <c r="H78" s="56">
        <v>43100</v>
      </c>
      <c r="I78" s="24">
        <v>1068262.8875000002</v>
      </c>
      <c r="J78" s="77"/>
    </row>
    <row r="79" spans="1:10" ht="24" x14ac:dyDescent="0.25">
      <c r="A79" s="115">
        <v>72</v>
      </c>
      <c r="B79" s="60" t="s">
        <v>524</v>
      </c>
      <c r="C79" s="10" t="str">
        <f>" UG-50457193-00083/17"</f>
        <v xml:space="preserve"> UG-50457193-00083/17</v>
      </c>
      <c r="D79" s="56">
        <v>42773</v>
      </c>
      <c r="E79" s="56">
        <v>43495</v>
      </c>
      <c r="F79" s="8">
        <v>360000</v>
      </c>
      <c r="G79" s="8">
        <v>450000</v>
      </c>
      <c r="H79" s="56">
        <v>43100</v>
      </c>
      <c r="I79" s="24">
        <v>224730.44999999998</v>
      </c>
      <c r="J79" s="77"/>
    </row>
    <row r="80" spans="1:10" ht="24" x14ac:dyDescent="0.25">
      <c r="A80" s="115">
        <v>73</v>
      </c>
      <c r="B80" s="60" t="s">
        <v>525</v>
      </c>
      <c r="C80" s="10" t="str">
        <f>" LUEL 02/17-DUSJN"</f>
        <v xml:space="preserve"> LUEL 02/17-DUSJN</v>
      </c>
      <c r="D80" s="56">
        <v>42772</v>
      </c>
      <c r="E80" s="56">
        <v>43138</v>
      </c>
      <c r="F80" s="8">
        <v>60000</v>
      </c>
      <c r="G80" s="8">
        <v>75000</v>
      </c>
      <c r="H80" s="56">
        <v>43100</v>
      </c>
      <c r="I80" s="24">
        <v>35674.112500000003</v>
      </c>
      <c r="J80" s="77"/>
    </row>
    <row r="81" spans="1:14" ht="15" customHeight="1" x14ac:dyDescent="0.25">
      <c r="A81" s="115">
        <v>74</v>
      </c>
      <c r="B81" s="116" t="s">
        <v>501</v>
      </c>
      <c r="C81" s="117" t="str">
        <f>"NN146/17"</f>
        <v>NN146/17</v>
      </c>
      <c r="D81" s="118">
        <v>42773</v>
      </c>
      <c r="E81" s="118">
        <v>43100</v>
      </c>
      <c r="F81" s="121">
        <v>45480</v>
      </c>
      <c r="G81" s="121">
        <v>56850</v>
      </c>
      <c r="H81" s="118">
        <v>43100</v>
      </c>
      <c r="I81" s="24">
        <v>56850</v>
      </c>
      <c r="J81" s="77"/>
    </row>
    <row r="82" spans="1:14" ht="24" x14ac:dyDescent="0.25">
      <c r="A82" s="115">
        <v>75</v>
      </c>
      <c r="B82" s="60" t="s">
        <v>526</v>
      </c>
      <c r="C82" s="10" t="str">
        <f>"UG-50457193-00090/17"</f>
        <v>UG-50457193-00090/17</v>
      </c>
      <c r="D82" s="56">
        <v>42772</v>
      </c>
      <c r="E82" s="56">
        <v>43495</v>
      </c>
      <c r="F82" s="8">
        <v>199980</v>
      </c>
      <c r="G82" s="8">
        <v>249975</v>
      </c>
      <c r="H82" s="56">
        <v>43100</v>
      </c>
      <c r="I82" s="24">
        <v>61541.25</v>
      </c>
      <c r="J82" s="77"/>
    </row>
    <row r="83" spans="1:14" ht="36" x14ac:dyDescent="0.25">
      <c r="A83" s="115">
        <v>76</v>
      </c>
      <c r="B83" s="60" t="s">
        <v>527</v>
      </c>
      <c r="C83" s="10" t="str">
        <f>"406-07/17-01/0006"</f>
        <v>406-07/17-01/0006</v>
      </c>
      <c r="D83" s="56">
        <v>42772</v>
      </c>
      <c r="E83" s="56">
        <v>43495</v>
      </c>
      <c r="F83" s="8">
        <v>299970</v>
      </c>
      <c r="G83" s="8">
        <v>374962.5</v>
      </c>
      <c r="H83" s="56">
        <v>43100</v>
      </c>
      <c r="I83" s="24">
        <v>134746.25</v>
      </c>
      <c r="J83" s="77"/>
    </row>
    <row r="84" spans="1:14" ht="24" x14ac:dyDescent="0.25">
      <c r="A84" s="115">
        <v>77</v>
      </c>
      <c r="B84" s="60" t="s">
        <v>528</v>
      </c>
      <c r="C84" s="10" t="str">
        <f>"102/2017"</f>
        <v>102/2017</v>
      </c>
      <c r="D84" s="56">
        <v>42773</v>
      </c>
      <c r="E84" s="56">
        <v>42832</v>
      </c>
      <c r="F84" s="8">
        <v>162750.54</v>
      </c>
      <c r="G84" s="8">
        <v>203438.18</v>
      </c>
      <c r="H84" s="56">
        <v>42832</v>
      </c>
      <c r="I84" s="24">
        <v>203438.17500000002</v>
      </c>
      <c r="J84" s="77"/>
    </row>
    <row r="85" spans="1:14" x14ac:dyDescent="0.25">
      <c r="A85" s="115">
        <v>78</v>
      </c>
      <c r="B85" s="60" t="s">
        <v>529</v>
      </c>
      <c r="C85" s="10" t="str">
        <f>"SU-108/2017"</f>
        <v>SU-108/2017</v>
      </c>
      <c r="D85" s="56">
        <v>42772</v>
      </c>
      <c r="E85" s="56">
        <v>43138</v>
      </c>
      <c r="F85" s="8">
        <v>49995</v>
      </c>
      <c r="G85" s="8">
        <v>62493.75</v>
      </c>
      <c r="H85" s="56">
        <v>43100</v>
      </c>
      <c r="I85" s="24">
        <v>26583.75</v>
      </c>
      <c r="J85" s="77"/>
    </row>
    <row r="86" spans="1:14" ht="24" x14ac:dyDescent="0.25">
      <c r="A86" s="115">
        <v>79</v>
      </c>
      <c r="B86" s="60" t="s">
        <v>530</v>
      </c>
      <c r="C86" s="10" t="str">
        <f>"UG-50457193-00109/17"</f>
        <v>UG-50457193-00109/17</v>
      </c>
      <c r="D86" s="56">
        <v>42783</v>
      </c>
      <c r="E86" s="56">
        <v>43495</v>
      </c>
      <c r="F86" s="8">
        <v>14500</v>
      </c>
      <c r="G86" s="8">
        <v>18125</v>
      </c>
      <c r="H86" s="56">
        <v>43100</v>
      </c>
      <c r="I86" s="24">
        <v>18523.137500000001</v>
      </c>
      <c r="J86" s="77"/>
    </row>
    <row r="87" spans="1:14" ht="24" x14ac:dyDescent="0.25">
      <c r="A87" s="115">
        <v>80</v>
      </c>
      <c r="B87" s="60" t="s">
        <v>531</v>
      </c>
      <c r="C87" s="10" t="str">
        <f>"30-01-2017"</f>
        <v>30-01-2017</v>
      </c>
      <c r="D87" s="56">
        <v>42765</v>
      </c>
      <c r="E87" s="56">
        <v>43495</v>
      </c>
      <c r="F87" s="8">
        <v>516615</v>
      </c>
      <c r="G87" s="8">
        <v>645768.75</v>
      </c>
      <c r="H87" s="56">
        <v>43100</v>
      </c>
      <c r="I87" s="24">
        <v>82498.375</v>
      </c>
      <c r="J87" s="77"/>
    </row>
    <row r="88" spans="1:14" ht="36" x14ac:dyDescent="0.25">
      <c r="A88" s="115">
        <v>81</v>
      </c>
      <c r="B88" s="60" t="s">
        <v>532</v>
      </c>
      <c r="C88" s="10" t="str">
        <f>"INA-UG 50457193-00291/17"</f>
        <v>INA-UG 50457193-00291/17</v>
      </c>
      <c r="D88" s="56">
        <v>42930</v>
      </c>
      <c r="E88" s="56">
        <v>43495</v>
      </c>
      <c r="F88" s="8">
        <v>0</v>
      </c>
      <c r="G88" s="8">
        <v>0</v>
      </c>
      <c r="H88" s="56">
        <v>43100</v>
      </c>
      <c r="I88" s="24">
        <v>8975</v>
      </c>
      <c r="J88" s="77"/>
    </row>
    <row r="89" spans="1:14" x14ac:dyDescent="0.25">
      <c r="A89" s="115">
        <v>82</v>
      </c>
      <c r="B89" s="60" t="s">
        <v>198</v>
      </c>
      <c r="C89" s="10" t="str">
        <f>"P/1483217"</f>
        <v>P/1483217</v>
      </c>
      <c r="D89" s="56">
        <v>42773</v>
      </c>
      <c r="E89" s="56">
        <v>43130</v>
      </c>
      <c r="F89" s="8">
        <v>0</v>
      </c>
      <c r="G89" s="8">
        <v>0</v>
      </c>
      <c r="H89" s="56">
        <v>43100</v>
      </c>
      <c r="I89" s="24">
        <v>131038.5125</v>
      </c>
      <c r="J89" s="77"/>
    </row>
    <row r="90" spans="1:14" ht="24" x14ac:dyDescent="0.25">
      <c r="A90" s="115">
        <v>83</v>
      </c>
      <c r="B90" s="81" t="s">
        <v>201</v>
      </c>
      <c r="C90" s="10" t="str">
        <f>"NAR 216/17"</f>
        <v>NAR 216/17</v>
      </c>
      <c r="D90" s="56">
        <v>42844</v>
      </c>
      <c r="E90" s="56">
        <v>43100</v>
      </c>
      <c r="F90" s="8">
        <v>34794.339999999997</v>
      </c>
      <c r="G90" s="8">
        <v>43492.93</v>
      </c>
      <c r="H90" s="56">
        <v>43100</v>
      </c>
      <c r="I90" s="61">
        <v>43492.924999999996</v>
      </c>
      <c r="J90" s="78"/>
    </row>
    <row r="91" spans="1:14" ht="24" x14ac:dyDescent="0.25">
      <c r="A91" s="115">
        <v>84</v>
      </c>
      <c r="B91" s="60" t="s">
        <v>533</v>
      </c>
      <c r="C91" s="10" t="str">
        <f>"INA-UG-00204/17"</f>
        <v>INA-UG-00204/17</v>
      </c>
      <c r="D91" s="56">
        <v>42765</v>
      </c>
      <c r="E91" s="56">
        <v>43495</v>
      </c>
      <c r="F91" s="8">
        <v>0</v>
      </c>
      <c r="G91" s="8">
        <v>0</v>
      </c>
      <c r="H91" s="56">
        <v>43100</v>
      </c>
      <c r="I91" s="37">
        <v>77258.45</v>
      </c>
      <c r="J91" s="72"/>
    </row>
    <row r="92" spans="1:14" ht="24" x14ac:dyDescent="0.25">
      <c r="A92" s="115">
        <v>85</v>
      </c>
      <c r="B92" s="60" t="s">
        <v>199</v>
      </c>
      <c r="C92" s="10" t="str">
        <f>"3/2016-I_MHB"</f>
        <v>3/2016-I_MHB</v>
      </c>
      <c r="D92" s="56">
        <v>42765</v>
      </c>
      <c r="E92" s="56">
        <v>43495</v>
      </c>
      <c r="F92" s="8">
        <v>0.01</v>
      </c>
      <c r="G92" s="8">
        <v>0.01</v>
      </c>
      <c r="H92" s="56">
        <v>43100</v>
      </c>
      <c r="I92" s="37">
        <v>48615.4</v>
      </c>
      <c r="J92" s="72"/>
    </row>
    <row r="93" spans="1:14" ht="24" x14ac:dyDescent="0.25">
      <c r="A93" s="115">
        <v>86</v>
      </c>
      <c r="B93" s="60" t="s">
        <v>279</v>
      </c>
      <c r="C93" s="10" t="str">
        <f>"3-2016GR2I4"</f>
        <v>3-2016GR2I4</v>
      </c>
      <c r="D93" s="56">
        <v>42734</v>
      </c>
      <c r="E93" s="56">
        <v>43464</v>
      </c>
      <c r="F93" s="8">
        <v>0</v>
      </c>
      <c r="G93" s="8">
        <v>0</v>
      </c>
      <c r="H93" s="56">
        <v>43100</v>
      </c>
      <c r="I93" s="37">
        <v>6695.2624999999998</v>
      </c>
      <c r="J93" s="72"/>
    </row>
    <row r="94" spans="1:14" ht="7.5" customHeight="1" x14ac:dyDescent="0.25"/>
    <row r="95" spans="1:14" x14ac:dyDescent="0.25">
      <c r="A95" s="175" t="s">
        <v>11</v>
      </c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</row>
    <row r="96" spans="1:14" ht="36" x14ac:dyDescent="0.25">
      <c r="A96" s="53" t="s">
        <v>0</v>
      </c>
      <c r="B96" s="54" t="s">
        <v>1</v>
      </c>
      <c r="C96" s="54" t="s">
        <v>3</v>
      </c>
      <c r="D96" s="178" t="s">
        <v>171</v>
      </c>
      <c r="E96" s="178"/>
      <c r="F96" s="54" t="s">
        <v>166</v>
      </c>
      <c r="G96" s="54" t="s">
        <v>170</v>
      </c>
      <c r="H96" s="54" t="s">
        <v>167</v>
      </c>
      <c r="I96" s="54" t="s">
        <v>4</v>
      </c>
      <c r="J96" s="54" t="s">
        <v>5</v>
      </c>
      <c r="K96" s="54" t="s">
        <v>2</v>
      </c>
      <c r="L96" s="54" t="s">
        <v>172</v>
      </c>
      <c r="M96" s="54" t="s">
        <v>173</v>
      </c>
      <c r="N96" s="54" t="s">
        <v>169</v>
      </c>
    </row>
    <row r="97" spans="1:14" x14ac:dyDescent="0.25">
      <c r="A97" s="1">
        <v>1</v>
      </c>
      <c r="B97" s="18" t="s">
        <v>115</v>
      </c>
      <c r="C97" s="1" t="s">
        <v>117</v>
      </c>
      <c r="D97" s="193" t="s">
        <v>1030</v>
      </c>
      <c r="E97" s="193"/>
      <c r="F97" s="1" t="s">
        <v>152</v>
      </c>
      <c r="G97" s="1" t="s">
        <v>1002</v>
      </c>
      <c r="H97" s="1" t="s">
        <v>15</v>
      </c>
      <c r="I97" s="15">
        <v>42765</v>
      </c>
      <c r="J97" s="1" t="s">
        <v>51</v>
      </c>
      <c r="K97" s="8">
        <v>15548000</v>
      </c>
      <c r="L97" s="8">
        <f>K97*0.25</f>
        <v>3887000</v>
      </c>
      <c r="M97" s="8">
        <f>K97+L97</f>
        <v>19435000</v>
      </c>
      <c r="N97" s="176"/>
    </row>
    <row r="98" spans="1:14" ht="15" customHeight="1" x14ac:dyDescent="0.25">
      <c r="A98" s="177" t="s">
        <v>1012</v>
      </c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8">
        <v>3125798.08</v>
      </c>
      <c r="N98" s="176"/>
    </row>
    <row r="99" spans="1:14" ht="7.5" customHeight="1" x14ac:dyDescent="0.25">
      <c r="L99" s="47"/>
    </row>
    <row r="100" spans="1:14" ht="15" customHeight="1" x14ac:dyDescent="0.25">
      <c r="A100" s="175" t="s">
        <v>12</v>
      </c>
      <c r="B100" s="175"/>
      <c r="C100" s="175"/>
      <c r="D100" s="175"/>
      <c r="E100" s="175"/>
      <c r="F100" s="175"/>
      <c r="G100" s="175"/>
      <c r="H100" s="175"/>
      <c r="I100" s="175"/>
      <c r="J100" s="175"/>
      <c r="K100" s="49"/>
      <c r="L100" s="49"/>
    </row>
    <row r="101" spans="1:14" ht="48" customHeight="1" x14ac:dyDescent="0.25">
      <c r="A101" s="2" t="s">
        <v>0</v>
      </c>
      <c r="B101" s="3" t="s">
        <v>7</v>
      </c>
      <c r="C101" s="3" t="s">
        <v>6</v>
      </c>
      <c r="D101" s="3" t="s">
        <v>8</v>
      </c>
      <c r="E101" s="3" t="s">
        <v>168</v>
      </c>
      <c r="F101" s="3" t="s">
        <v>174</v>
      </c>
      <c r="G101" s="3" t="s">
        <v>175</v>
      </c>
      <c r="H101" s="3" t="s">
        <v>9</v>
      </c>
      <c r="I101" s="3" t="s">
        <v>176</v>
      </c>
      <c r="J101" s="3" t="s">
        <v>10</v>
      </c>
      <c r="L101" s="48"/>
      <c r="M101" s="48"/>
    </row>
    <row r="102" spans="1:14" ht="24" x14ac:dyDescent="0.25">
      <c r="A102" s="1">
        <v>1</v>
      </c>
      <c r="B102" s="60" t="s">
        <v>534</v>
      </c>
      <c r="C102" s="10" t="str">
        <f>"NAR. BR. 245/2017"</f>
        <v>NAR. BR. 245/2017</v>
      </c>
      <c r="D102" s="56">
        <v>43059</v>
      </c>
      <c r="E102" s="56">
        <v>43061</v>
      </c>
      <c r="F102" s="62">
        <v>13504</v>
      </c>
      <c r="G102" s="62">
        <v>16880</v>
      </c>
      <c r="H102" s="162"/>
      <c r="I102" s="167">
        <v>0</v>
      </c>
      <c r="J102" s="77"/>
    </row>
    <row r="103" spans="1:14" ht="24" x14ac:dyDescent="0.25">
      <c r="A103" s="1">
        <v>2</v>
      </c>
      <c r="B103" s="60" t="s">
        <v>534</v>
      </c>
      <c r="C103" s="10" t="str">
        <f>"NAR. BR. 190/2017"</f>
        <v>NAR. BR. 190/2017</v>
      </c>
      <c r="D103" s="56">
        <v>43014</v>
      </c>
      <c r="E103" s="56">
        <v>43017</v>
      </c>
      <c r="F103" s="62">
        <v>10361.6</v>
      </c>
      <c r="G103" s="62">
        <v>12952</v>
      </c>
      <c r="H103" s="56">
        <v>43062</v>
      </c>
      <c r="I103" s="24">
        <v>12952</v>
      </c>
      <c r="J103" s="77"/>
    </row>
    <row r="104" spans="1:14" ht="24" x14ac:dyDescent="0.25">
      <c r="A104" s="1">
        <v>3</v>
      </c>
      <c r="B104" s="60" t="s">
        <v>534</v>
      </c>
      <c r="C104" s="10" t="str">
        <f>"NARUDŽBENICA BR. 180/2017"</f>
        <v>NARUDŽBENICA BR. 180/2017</v>
      </c>
      <c r="D104" s="56">
        <v>43003</v>
      </c>
      <c r="E104" s="56">
        <v>43005</v>
      </c>
      <c r="F104" s="62">
        <v>8108.88</v>
      </c>
      <c r="G104" s="62">
        <v>10136.1</v>
      </c>
      <c r="H104" s="56">
        <v>43008</v>
      </c>
      <c r="I104" s="24">
        <v>10136.1</v>
      </c>
      <c r="J104" s="77"/>
    </row>
    <row r="105" spans="1:14" ht="24" x14ac:dyDescent="0.25">
      <c r="A105" s="1">
        <v>4</v>
      </c>
      <c r="B105" s="60" t="s">
        <v>534</v>
      </c>
      <c r="C105" s="10" t="str">
        <f>"NAR. BR. 149/2017"</f>
        <v>NAR. BR. 149/2017</v>
      </c>
      <c r="D105" s="56">
        <v>42971</v>
      </c>
      <c r="E105" s="56">
        <v>42972</v>
      </c>
      <c r="F105" s="62">
        <v>6805.96</v>
      </c>
      <c r="G105" s="62">
        <v>8507.4500000000007</v>
      </c>
      <c r="H105" s="56">
        <v>43017</v>
      </c>
      <c r="I105" s="24">
        <v>8507.4500000000007</v>
      </c>
      <c r="J105" s="77"/>
    </row>
    <row r="106" spans="1:14" ht="24" x14ac:dyDescent="0.25">
      <c r="A106" s="1">
        <v>5</v>
      </c>
      <c r="B106" s="60" t="s">
        <v>534</v>
      </c>
      <c r="C106" s="10" t="str">
        <f>"NAR. BR. 145/2017"</f>
        <v>NAR. BR. 145/2017</v>
      </c>
      <c r="D106" s="56">
        <v>42956</v>
      </c>
      <c r="E106" s="56">
        <v>42958</v>
      </c>
      <c r="F106" s="62">
        <v>7345</v>
      </c>
      <c r="G106" s="62">
        <v>9181.25</v>
      </c>
      <c r="H106" s="56">
        <v>43003</v>
      </c>
      <c r="I106" s="24">
        <v>9181.25</v>
      </c>
      <c r="J106" s="77"/>
    </row>
    <row r="107" spans="1:14" ht="36" x14ac:dyDescent="0.25">
      <c r="A107" s="1">
        <v>6</v>
      </c>
      <c r="B107" s="60" t="s">
        <v>535</v>
      </c>
      <c r="C107" s="10" t="str">
        <f>"GORIVO DOSTAVA PLAVI DIZEL"</f>
        <v>GORIVO DOSTAVA PLAVI DIZEL</v>
      </c>
      <c r="D107" s="56">
        <v>43006</v>
      </c>
      <c r="E107" s="56">
        <v>43555</v>
      </c>
      <c r="F107" s="62">
        <v>38448</v>
      </c>
      <c r="G107" s="62">
        <v>48060</v>
      </c>
      <c r="H107" s="56">
        <v>43100</v>
      </c>
      <c r="I107" s="24">
        <v>21558.75</v>
      </c>
      <c r="J107" s="77"/>
    </row>
    <row r="108" spans="1:14" ht="24" x14ac:dyDescent="0.25">
      <c r="A108" s="1">
        <v>7</v>
      </c>
      <c r="B108" s="60" t="s">
        <v>534</v>
      </c>
      <c r="C108" s="10" t="str">
        <f>"NAR. BR. 119/2017"</f>
        <v>NAR. BR. 119/2017</v>
      </c>
      <c r="D108" s="56">
        <v>42913</v>
      </c>
      <c r="E108" s="56">
        <v>42915</v>
      </c>
      <c r="F108" s="62">
        <v>8516.27</v>
      </c>
      <c r="G108" s="62">
        <v>10645.34</v>
      </c>
      <c r="H108" s="56">
        <v>42960</v>
      </c>
      <c r="I108" s="24">
        <v>10645.337500000001</v>
      </c>
      <c r="J108" s="77"/>
    </row>
    <row r="109" spans="1:14" ht="24" x14ac:dyDescent="0.25">
      <c r="A109" s="1">
        <v>8</v>
      </c>
      <c r="B109" s="60" t="s">
        <v>534</v>
      </c>
      <c r="C109" s="10" t="str">
        <f>"NARUDŽBENICA BR. 98/2017"</f>
        <v>NARUDŽBENICA BR. 98/2017</v>
      </c>
      <c r="D109" s="56">
        <v>42870</v>
      </c>
      <c r="E109" s="56">
        <v>42873</v>
      </c>
      <c r="F109" s="62">
        <v>5776</v>
      </c>
      <c r="G109" s="62">
        <v>7220</v>
      </c>
      <c r="H109" s="56">
        <v>42916</v>
      </c>
      <c r="I109" s="24">
        <v>7220</v>
      </c>
      <c r="J109" s="77"/>
    </row>
    <row r="110" spans="1:14" ht="15" customHeight="1" x14ac:dyDescent="0.25">
      <c r="A110" s="1">
        <v>9</v>
      </c>
      <c r="B110" s="116" t="s">
        <v>536</v>
      </c>
      <c r="C110" s="117" t="str">
        <f>"U-0147-17-70 PETROL"</f>
        <v>U-0147-17-70 PETROL</v>
      </c>
      <c r="D110" s="118">
        <v>42880</v>
      </c>
      <c r="E110" s="118">
        <v>43495</v>
      </c>
      <c r="F110" s="120">
        <v>9000</v>
      </c>
      <c r="G110" s="120">
        <v>11250</v>
      </c>
      <c r="H110" s="118">
        <v>43100</v>
      </c>
      <c r="I110" s="24">
        <v>7487.5</v>
      </c>
      <c r="J110" s="77"/>
    </row>
    <row r="111" spans="1:14" ht="24" x14ac:dyDescent="0.25">
      <c r="A111" s="1">
        <v>10</v>
      </c>
      <c r="B111" s="60" t="s">
        <v>537</v>
      </c>
      <c r="C111" s="10" t="str">
        <f>"480-05/17-05/03-4"</f>
        <v>480-05/17-05/03-4</v>
      </c>
      <c r="D111" s="56">
        <v>42814</v>
      </c>
      <c r="E111" s="56">
        <v>43100</v>
      </c>
      <c r="F111" s="62">
        <v>207834</v>
      </c>
      <c r="G111" s="62">
        <v>259792.5</v>
      </c>
      <c r="H111" s="56">
        <v>43100</v>
      </c>
      <c r="I111" s="24">
        <v>200991.63750000001</v>
      </c>
      <c r="J111" s="77"/>
    </row>
    <row r="112" spans="1:14" ht="24" x14ac:dyDescent="0.25">
      <c r="A112" s="1">
        <v>11</v>
      </c>
      <c r="B112" s="60" t="s">
        <v>193</v>
      </c>
      <c r="C112" s="10" t="str">
        <f>"9-9-17-2"</f>
        <v>9-9-17-2</v>
      </c>
      <c r="D112" s="56">
        <v>42803</v>
      </c>
      <c r="E112" s="56">
        <v>43495</v>
      </c>
      <c r="F112" s="62">
        <v>89700</v>
      </c>
      <c r="G112" s="62">
        <v>112125</v>
      </c>
      <c r="H112" s="56">
        <v>43100</v>
      </c>
      <c r="I112" s="24">
        <v>15738.637500000001</v>
      </c>
      <c r="J112" s="77"/>
    </row>
    <row r="113" spans="1:14" ht="24" x14ac:dyDescent="0.25">
      <c r="A113" s="1">
        <v>12</v>
      </c>
      <c r="B113" s="60" t="s">
        <v>538</v>
      </c>
      <c r="C113" s="10" t="str">
        <f>"222/17"</f>
        <v>222/17</v>
      </c>
      <c r="D113" s="56">
        <v>42793</v>
      </c>
      <c r="E113" s="56">
        <v>43465</v>
      </c>
      <c r="F113" s="62">
        <v>735000</v>
      </c>
      <c r="G113" s="62">
        <v>918750</v>
      </c>
      <c r="H113" s="56">
        <v>43100</v>
      </c>
      <c r="I113" s="24">
        <v>281670.01250000001</v>
      </c>
      <c r="J113" s="77"/>
    </row>
    <row r="114" spans="1:14" ht="24" x14ac:dyDescent="0.25">
      <c r="A114" s="1">
        <v>13</v>
      </c>
      <c r="B114" s="60" t="s">
        <v>18</v>
      </c>
      <c r="C114" s="10" t="str">
        <f>"SNUG-203-17-008"</f>
        <v>SNUG-203-17-008</v>
      </c>
      <c r="D114" s="56">
        <v>42787</v>
      </c>
      <c r="E114" s="56">
        <v>43100</v>
      </c>
      <c r="F114" s="62">
        <v>2400000</v>
      </c>
      <c r="G114" s="62">
        <v>3000000</v>
      </c>
      <c r="H114" s="56">
        <v>43100</v>
      </c>
      <c r="I114" s="24">
        <v>1476572.9500000002</v>
      </c>
      <c r="J114" s="77"/>
    </row>
    <row r="115" spans="1:14" ht="24" x14ac:dyDescent="0.25">
      <c r="A115" s="1">
        <v>14</v>
      </c>
      <c r="B115" s="60" t="s">
        <v>539</v>
      </c>
      <c r="C115" s="10" t="str">
        <f>"UG-50457193-00142/17"</f>
        <v>UG-50457193-00142/17</v>
      </c>
      <c r="D115" s="56">
        <v>42765</v>
      </c>
      <c r="E115" s="56">
        <v>43495</v>
      </c>
      <c r="F115" s="62">
        <v>0</v>
      </c>
      <c r="G115" s="62">
        <v>0</v>
      </c>
      <c r="H115" s="56">
        <v>43100</v>
      </c>
      <c r="I115" s="24">
        <v>17948.974999999999</v>
      </c>
      <c r="J115" s="77"/>
    </row>
    <row r="116" spans="1:14" ht="24" x14ac:dyDescent="0.25">
      <c r="A116" s="1">
        <v>15</v>
      </c>
      <c r="B116" s="60" t="s">
        <v>540</v>
      </c>
      <c r="C116" s="10" t="str">
        <f>"MV003"</f>
        <v>MV003</v>
      </c>
      <c r="D116" s="56">
        <v>42783</v>
      </c>
      <c r="E116" s="56">
        <v>43100</v>
      </c>
      <c r="F116" s="62">
        <v>64560</v>
      </c>
      <c r="G116" s="62">
        <v>80700</v>
      </c>
      <c r="H116" s="56">
        <v>43100</v>
      </c>
      <c r="I116" s="24">
        <v>55734.4375</v>
      </c>
      <c r="J116" s="77"/>
    </row>
    <row r="117" spans="1:14" x14ac:dyDescent="0.25">
      <c r="A117" s="1">
        <v>16</v>
      </c>
      <c r="B117" s="60" t="s">
        <v>499</v>
      </c>
      <c r="C117" s="10" t="str">
        <f>"251-17-278842"</f>
        <v>251-17-278842</v>
      </c>
      <c r="D117" s="56">
        <v>42782</v>
      </c>
      <c r="E117" s="56">
        <v>43147</v>
      </c>
      <c r="F117" s="62">
        <v>35000</v>
      </c>
      <c r="G117" s="62">
        <v>43750</v>
      </c>
      <c r="H117" s="56">
        <v>43100</v>
      </c>
      <c r="I117" s="24">
        <v>21418.337499999998</v>
      </c>
      <c r="J117" s="77"/>
    </row>
    <row r="118" spans="1:14" x14ac:dyDescent="0.25">
      <c r="A118" s="1">
        <v>17</v>
      </c>
      <c r="B118" s="60" t="s">
        <v>474</v>
      </c>
      <c r="C118" s="10" t="str">
        <f>"02/2017 OS"</f>
        <v>02/2017 OS</v>
      </c>
      <c r="D118" s="56">
        <v>42782</v>
      </c>
      <c r="E118" s="56">
        <v>43130</v>
      </c>
      <c r="F118" s="62">
        <v>212550</v>
      </c>
      <c r="G118" s="62">
        <v>265687.5</v>
      </c>
      <c r="H118" s="56">
        <v>43100</v>
      </c>
      <c r="I118" s="24">
        <v>179443.83750000002</v>
      </c>
      <c r="J118" s="77"/>
    </row>
    <row r="119" spans="1:14" ht="24" x14ac:dyDescent="0.25">
      <c r="A119" s="1">
        <v>18</v>
      </c>
      <c r="B119" s="60" t="s">
        <v>502</v>
      </c>
      <c r="C119" s="10" t="str">
        <f>"77/7/2017"</f>
        <v>77/7/2017</v>
      </c>
      <c r="D119" s="56">
        <v>42844</v>
      </c>
      <c r="E119" s="56">
        <v>43146</v>
      </c>
      <c r="F119" s="62">
        <v>560000</v>
      </c>
      <c r="G119" s="62">
        <v>700000</v>
      </c>
      <c r="H119" s="56">
        <v>43020</v>
      </c>
      <c r="I119" s="24">
        <v>368051.55</v>
      </c>
      <c r="J119" s="77"/>
    </row>
    <row r="120" spans="1:14" ht="24" x14ac:dyDescent="0.25">
      <c r="A120" s="1">
        <v>19</v>
      </c>
      <c r="B120" s="60" t="s">
        <v>541</v>
      </c>
      <c r="C120" s="10" t="str">
        <f>"2137-78-17/26"</f>
        <v>2137-78-17/26</v>
      </c>
      <c r="D120" s="56">
        <v>42780</v>
      </c>
      <c r="E120" s="56">
        <v>43510</v>
      </c>
      <c r="F120" s="62">
        <v>21785.15</v>
      </c>
      <c r="G120" s="62">
        <v>27231.439999999999</v>
      </c>
      <c r="H120" s="56">
        <v>43100</v>
      </c>
      <c r="I120" s="24">
        <v>41603.862499999996</v>
      </c>
      <c r="J120" s="77"/>
    </row>
    <row r="121" spans="1:14" ht="24" x14ac:dyDescent="0.25">
      <c r="A121" s="1">
        <v>20</v>
      </c>
      <c r="B121" s="60" t="s">
        <v>534</v>
      </c>
      <c r="C121" s="10" t="str">
        <f>"NARUDŽBENICA BR. 13/2017"</f>
        <v>NARUDŽBENICA BR. 13/2017</v>
      </c>
      <c r="D121" s="56">
        <v>42769</v>
      </c>
      <c r="E121" s="56">
        <v>42815</v>
      </c>
      <c r="F121" s="62">
        <v>11326</v>
      </c>
      <c r="G121" s="62">
        <v>14157.5</v>
      </c>
      <c r="H121" s="56">
        <v>42825</v>
      </c>
      <c r="I121" s="24">
        <v>14157.5</v>
      </c>
      <c r="J121" s="77"/>
    </row>
    <row r="122" spans="1:14" x14ac:dyDescent="0.25">
      <c r="A122" s="1">
        <v>21</v>
      </c>
      <c r="B122" s="60" t="s">
        <v>521</v>
      </c>
      <c r="C122" s="10" t="str">
        <f>"PD-01/2017."</f>
        <v>PD-01/2017.</v>
      </c>
      <c r="D122" s="56">
        <v>42769</v>
      </c>
      <c r="E122" s="56">
        <v>43100</v>
      </c>
      <c r="F122" s="62">
        <v>146700</v>
      </c>
      <c r="G122" s="62">
        <v>183375</v>
      </c>
      <c r="H122" s="56">
        <v>43100</v>
      </c>
      <c r="I122" s="24">
        <v>109295.65000000001</v>
      </c>
      <c r="J122" s="77"/>
    </row>
    <row r="123" spans="1:14" x14ac:dyDescent="0.25">
      <c r="A123" s="1">
        <v>22</v>
      </c>
      <c r="B123" s="60" t="s">
        <v>542</v>
      </c>
      <c r="C123" s="10" t="str">
        <f>"RA-17-03/03"</f>
        <v>RA-17-03/03</v>
      </c>
      <c r="D123" s="56">
        <v>42768</v>
      </c>
      <c r="E123" s="56">
        <v>43130</v>
      </c>
      <c r="F123" s="62">
        <v>0</v>
      </c>
      <c r="G123" s="62">
        <v>0</v>
      </c>
      <c r="H123" s="56">
        <v>43100</v>
      </c>
      <c r="I123" s="24">
        <v>255482.3</v>
      </c>
      <c r="J123" s="77"/>
    </row>
    <row r="124" spans="1:14" ht="7.5" customHeight="1" x14ac:dyDescent="0.25">
      <c r="A124" s="82"/>
      <c r="B124" s="29"/>
      <c r="C124" s="29"/>
      <c r="D124" s="83"/>
      <c r="E124" s="83"/>
      <c r="F124" s="29"/>
      <c r="G124" s="29"/>
      <c r="H124" s="83"/>
      <c r="I124" s="82"/>
      <c r="J124" s="82"/>
    </row>
    <row r="125" spans="1:14" x14ac:dyDescent="0.25">
      <c r="A125" s="175" t="s">
        <v>11</v>
      </c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</row>
    <row r="126" spans="1:14" ht="36" x14ac:dyDescent="0.25">
      <c r="A126" s="53" t="s">
        <v>0</v>
      </c>
      <c r="B126" s="54" t="s">
        <v>1</v>
      </c>
      <c r="C126" s="54" t="s">
        <v>3</v>
      </c>
      <c r="D126" s="178" t="s">
        <v>171</v>
      </c>
      <c r="E126" s="178"/>
      <c r="F126" s="54" t="s">
        <v>166</v>
      </c>
      <c r="G126" s="54" t="s">
        <v>170</v>
      </c>
      <c r="H126" s="54" t="s">
        <v>167</v>
      </c>
      <c r="I126" s="54" t="s">
        <v>4</v>
      </c>
      <c r="J126" s="54" t="s">
        <v>5</v>
      </c>
      <c r="K126" s="54" t="s">
        <v>2</v>
      </c>
      <c r="L126" s="54" t="s">
        <v>172</v>
      </c>
      <c r="M126" s="54" t="s">
        <v>173</v>
      </c>
      <c r="N126" s="54" t="s">
        <v>169</v>
      </c>
    </row>
    <row r="127" spans="1:14" ht="24" customHeight="1" x14ac:dyDescent="0.25">
      <c r="A127" s="1">
        <v>1</v>
      </c>
      <c r="B127" s="18" t="s">
        <v>115</v>
      </c>
      <c r="C127" s="1" t="s">
        <v>118</v>
      </c>
      <c r="D127" s="192" t="s">
        <v>1029</v>
      </c>
      <c r="E127" s="192"/>
      <c r="F127" s="1" t="s">
        <v>152</v>
      </c>
      <c r="G127" s="1" t="s">
        <v>1002</v>
      </c>
      <c r="H127" s="1" t="s">
        <v>15</v>
      </c>
      <c r="I127" s="15">
        <v>42765</v>
      </c>
      <c r="J127" s="1" t="s">
        <v>51</v>
      </c>
      <c r="K127" s="8">
        <v>50679500</v>
      </c>
      <c r="L127" s="8">
        <f>K127*0.25</f>
        <v>12669875</v>
      </c>
      <c r="M127" s="8">
        <f>K127+L127</f>
        <v>63349375</v>
      </c>
      <c r="N127" s="176"/>
    </row>
    <row r="128" spans="1:14" ht="15" customHeight="1" x14ac:dyDescent="0.25">
      <c r="A128" s="177" t="s">
        <v>1012</v>
      </c>
      <c r="B128" s="177"/>
      <c r="C128" s="177"/>
      <c r="D128" s="177"/>
      <c r="E128" s="177"/>
      <c r="F128" s="177"/>
      <c r="G128" s="177"/>
      <c r="H128" s="177"/>
      <c r="I128" s="177"/>
      <c r="J128" s="177"/>
      <c r="K128" s="177"/>
      <c r="L128" s="177"/>
      <c r="M128" s="8">
        <v>15693173.1</v>
      </c>
      <c r="N128" s="176"/>
    </row>
    <row r="129" spans="1:13" ht="7.5" customHeight="1" x14ac:dyDescent="0.25">
      <c r="L129" s="47"/>
    </row>
    <row r="130" spans="1:13" ht="15" customHeight="1" x14ac:dyDescent="0.25">
      <c r="A130" s="175" t="s">
        <v>12</v>
      </c>
      <c r="B130" s="175"/>
      <c r="C130" s="175"/>
      <c r="D130" s="175"/>
      <c r="E130" s="175"/>
      <c r="F130" s="175"/>
      <c r="G130" s="175"/>
      <c r="H130" s="175"/>
      <c r="I130" s="175"/>
      <c r="J130" s="175"/>
      <c r="K130" s="49"/>
      <c r="L130" s="49"/>
    </row>
    <row r="131" spans="1:13" ht="48" customHeight="1" x14ac:dyDescent="0.25">
      <c r="A131" s="2" t="s">
        <v>0</v>
      </c>
      <c r="B131" s="3" t="s">
        <v>7</v>
      </c>
      <c r="C131" s="3" t="s">
        <v>6</v>
      </c>
      <c r="D131" s="3" t="s">
        <v>8</v>
      </c>
      <c r="E131" s="3" t="s">
        <v>168</v>
      </c>
      <c r="F131" s="3" t="s">
        <v>174</v>
      </c>
      <c r="G131" s="3" t="s">
        <v>175</v>
      </c>
      <c r="H131" s="3" t="s">
        <v>9</v>
      </c>
      <c r="I131" s="3" t="s">
        <v>176</v>
      </c>
      <c r="J131" s="3" t="s">
        <v>10</v>
      </c>
      <c r="L131" s="48"/>
      <c r="M131" s="48"/>
    </row>
    <row r="132" spans="1:13" ht="24" x14ac:dyDescent="0.25">
      <c r="A132" s="38">
        <v>1</v>
      </c>
      <c r="B132" s="60" t="s">
        <v>543</v>
      </c>
      <c r="C132" s="10" t="str">
        <f>"INA-UG-00453/17"</f>
        <v>INA-UG-00453/17</v>
      </c>
      <c r="D132" s="56">
        <v>42887</v>
      </c>
      <c r="E132" s="56">
        <v>43616</v>
      </c>
      <c r="F132" s="8">
        <v>140000</v>
      </c>
      <c r="G132" s="8">
        <v>175000</v>
      </c>
      <c r="H132" s="56">
        <v>43100</v>
      </c>
      <c r="I132" s="24">
        <v>44851.125</v>
      </c>
      <c r="J132" s="77"/>
    </row>
    <row r="133" spans="1:13" ht="24" x14ac:dyDescent="0.25">
      <c r="A133" s="115">
        <v>2</v>
      </c>
      <c r="B133" s="60" t="s">
        <v>544</v>
      </c>
      <c r="C133" s="10" t="str">
        <f>"GRUPA 4"</f>
        <v>GRUPA 4</v>
      </c>
      <c r="D133" s="56">
        <v>42881</v>
      </c>
      <c r="E133" s="56">
        <v>43100</v>
      </c>
      <c r="F133" s="8">
        <v>50679500</v>
      </c>
      <c r="G133" s="8">
        <v>63349375</v>
      </c>
      <c r="H133" s="56">
        <v>43100</v>
      </c>
      <c r="I133" s="24">
        <v>3714.4125000000004</v>
      </c>
      <c r="J133" s="77"/>
    </row>
    <row r="134" spans="1:13" ht="36" x14ac:dyDescent="0.25">
      <c r="A134" s="115">
        <v>3</v>
      </c>
      <c r="B134" s="60" t="s">
        <v>97</v>
      </c>
      <c r="C134" s="10" t="str">
        <f>"030-01/17-04/5"</f>
        <v>030-01/17-04/5</v>
      </c>
      <c r="D134" s="56">
        <v>42787</v>
      </c>
      <c r="E134" s="56">
        <v>43100</v>
      </c>
      <c r="F134" s="8">
        <v>30240.799999999999</v>
      </c>
      <c r="G134" s="8">
        <v>37801</v>
      </c>
      <c r="H134" s="56">
        <v>43100</v>
      </c>
      <c r="I134" s="24">
        <v>10362.550000000001</v>
      </c>
      <c r="J134" s="77"/>
    </row>
    <row r="135" spans="1:13" ht="24" x14ac:dyDescent="0.25">
      <c r="A135" s="115">
        <v>4</v>
      </c>
      <c r="B135" s="60" t="s">
        <v>18</v>
      </c>
      <c r="C135" s="10" t="str">
        <f>"SNUG-203-17-011"</f>
        <v>SNUG-203-17-011</v>
      </c>
      <c r="D135" s="56">
        <v>42807</v>
      </c>
      <c r="E135" s="56">
        <v>43100</v>
      </c>
      <c r="F135" s="8">
        <v>25881909.600000001</v>
      </c>
      <c r="G135" s="8">
        <v>32352387</v>
      </c>
      <c r="H135" s="56">
        <v>43100</v>
      </c>
      <c r="I135" s="24">
        <v>11673599.4125</v>
      </c>
      <c r="J135" s="77"/>
    </row>
    <row r="136" spans="1:13" ht="24" x14ac:dyDescent="0.25">
      <c r="A136" s="115">
        <v>5</v>
      </c>
      <c r="B136" s="60" t="s">
        <v>193</v>
      </c>
      <c r="C136" s="10" t="str">
        <f>"9-9-17-3"</f>
        <v>9-9-17-3</v>
      </c>
      <c r="D136" s="56">
        <v>42795</v>
      </c>
      <c r="E136" s="56">
        <v>43495</v>
      </c>
      <c r="F136" s="8">
        <v>107820</v>
      </c>
      <c r="G136" s="8">
        <v>134775</v>
      </c>
      <c r="H136" s="56">
        <v>43100</v>
      </c>
      <c r="I136" s="24">
        <v>7354</v>
      </c>
      <c r="J136" s="77"/>
    </row>
    <row r="137" spans="1:13" ht="24" x14ac:dyDescent="0.25">
      <c r="A137" s="115">
        <v>6</v>
      </c>
      <c r="B137" s="60" t="s">
        <v>505</v>
      </c>
      <c r="C137" s="10" t="str">
        <f>"NPPJ 3/2016-C"</f>
        <v>NPPJ 3/2016-C</v>
      </c>
      <c r="D137" s="56">
        <v>42786</v>
      </c>
      <c r="E137" s="56">
        <v>43151</v>
      </c>
      <c r="F137" s="8">
        <v>1617300</v>
      </c>
      <c r="G137" s="8">
        <v>2021625</v>
      </c>
      <c r="H137" s="56">
        <v>43100</v>
      </c>
      <c r="I137" s="24">
        <v>1893895.6375</v>
      </c>
      <c r="J137" s="77"/>
    </row>
    <row r="138" spans="1:13" x14ac:dyDescent="0.25">
      <c r="A138" s="115">
        <v>7</v>
      </c>
      <c r="B138" s="60" t="s">
        <v>474</v>
      </c>
      <c r="C138" s="10" t="str">
        <f>"03/2017 OS"</f>
        <v>03/2017 OS</v>
      </c>
      <c r="D138" s="56">
        <v>42786</v>
      </c>
      <c r="E138" s="56">
        <v>43130</v>
      </c>
      <c r="F138" s="8">
        <v>263000</v>
      </c>
      <c r="G138" s="8">
        <v>328750</v>
      </c>
      <c r="H138" s="56">
        <v>43100</v>
      </c>
      <c r="I138" s="24">
        <v>251618.38749999998</v>
      </c>
      <c r="J138" s="77"/>
    </row>
    <row r="139" spans="1:13" ht="36" x14ac:dyDescent="0.25">
      <c r="A139" s="115">
        <v>8</v>
      </c>
      <c r="B139" s="60" t="s">
        <v>195</v>
      </c>
      <c r="C139" s="10" t="str">
        <f>"MUP-GORIVO-GRUPA 4-2017-1"</f>
        <v>MUP-GORIVO-GRUPA 4-2017-1</v>
      </c>
      <c r="D139" s="56">
        <v>42781</v>
      </c>
      <c r="E139" s="56">
        <v>43145</v>
      </c>
      <c r="F139" s="8">
        <v>1009929.22</v>
      </c>
      <c r="G139" s="8">
        <v>1262411.53</v>
      </c>
      <c r="H139" s="56">
        <v>43100</v>
      </c>
      <c r="I139" s="24">
        <v>1431281.3</v>
      </c>
      <c r="J139" s="77"/>
    </row>
    <row r="140" spans="1:13" ht="24" x14ac:dyDescent="0.25">
      <c r="A140" s="115">
        <v>9</v>
      </c>
      <c r="B140" s="60" t="s">
        <v>545</v>
      </c>
      <c r="C140" s="10" t="str">
        <f>"402-08/16-01/02"</f>
        <v>402-08/16-01/02</v>
      </c>
      <c r="D140" s="56">
        <v>42781</v>
      </c>
      <c r="E140" s="56">
        <v>43100</v>
      </c>
      <c r="F140" s="8">
        <v>4320</v>
      </c>
      <c r="G140" s="8">
        <v>5400</v>
      </c>
      <c r="H140" s="56">
        <v>43100</v>
      </c>
      <c r="I140" s="24">
        <v>2870.7</v>
      </c>
      <c r="J140" s="77"/>
    </row>
    <row r="141" spans="1:13" ht="36" x14ac:dyDescent="0.25">
      <c r="A141" s="115">
        <v>10</v>
      </c>
      <c r="B141" s="60" t="s">
        <v>488</v>
      </c>
      <c r="C141" s="10" t="str">
        <f>"406-01/17-01/2"</f>
        <v>406-01/17-01/2</v>
      </c>
      <c r="D141" s="56">
        <v>42776</v>
      </c>
      <c r="E141" s="56">
        <v>43100</v>
      </c>
      <c r="F141" s="8">
        <v>5000</v>
      </c>
      <c r="G141" s="8">
        <v>6250</v>
      </c>
      <c r="H141" s="56">
        <v>43100</v>
      </c>
      <c r="I141" s="24">
        <v>0</v>
      </c>
      <c r="J141" s="77"/>
    </row>
    <row r="142" spans="1:13" x14ac:dyDescent="0.25">
      <c r="A142" s="115">
        <v>11</v>
      </c>
      <c r="B142" s="60" t="s">
        <v>546</v>
      </c>
      <c r="C142" s="10" t="str">
        <f>"01022017"</f>
        <v>01022017</v>
      </c>
      <c r="D142" s="56">
        <v>42767</v>
      </c>
      <c r="E142" s="56">
        <v>43497</v>
      </c>
      <c r="F142" s="8">
        <v>59900</v>
      </c>
      <c r="G142" s="8">
        <v>74875</v>
      </c>
      <c r="H142" s="56">
        <v>43100</v>
      </c>
      <c r="I142" s="24">
        <v>0</v>
      </c>
      <c r="J142" s="77"/>
    </row>
    <row r="143" spans="1:13" ht="36" x14ac:dyDescent="0.25">
      <c r="A143" s="115">
        <v>12</v>
      </c>
      <c r="B143" s="60" t="s">
        <v>191</v>
      </c>
      <c r="C143" s="10" t="str">
        <f>"KL:406-01/16-01/143, UR:4 MFIN"</f>
        <v>KL:406-01/16-01/143, UR:4 MFIN</v>
      </c>
      <c r="D143" s="56">
        <v>42803</v>
      </c>
      <c r="E143" s="56">
        <v>43131</v>
      </c>
      <c r="F143" s="8">
        <v>0</v>
      </c>
      <c r="G143" s="8">
        <v>0</v>
      </c>
      <c r="H143" s="56">
        <v>43100</v>
      </c>
      <c r="I143" s="24">
        <v>373625.57500000001</v>
      </c>
      <c r="J143" s="77"/>
    </row>
    <row r="144" spans="1:13" ht="7.5" customHeight="1" x14ac:dyDescent="0.25"/>
    <row r="145" spans="1:14" x14ac:dyDescent="0.25">
      <c r="A145" s="175" t="s">
        <v>11</v>
      </c>
      <c r="B145" s="175"/>
      <c r="C145" s="175"/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</row>
    <row r="146" spans="1:14" ht="36" x14ac:dyDescent="0.25">
      <c r="A146" s="53" t="s">
        <v>0</v>
      </c>
      <c r="B146" s="54" t="s">
        <v>1</v>
      </c>
      <c r="C146" s="54" t="s">
        <v>3</v>
      </c>
      <c r="D146" s="178" t="s">
        <v>171</v>
      </c>
      <c r="E146" s="178"/>
      <c r="F146" s="54" t="s">
        <v>166</v>
      </c>
      <c r="G146" s="54" t="s">
        <v>170</v>
      </c>
      <c r="H146" s="54" t="s">
        <v>167</v>
      </c>
      <c r="I146" s="54" t="s">
        <v>4</v>
      </c>
      <c r="J146" s="54" t="s">
        <v>5</v>
      </c>
      <c r="K146" s="54" t="s">
        <v>2</v>
      </c>
      <c r="L146" s="54" t="s">
        <v>172</v>
      </c>
      <c r="M146" s="54" t="s">
        <v>173</v>
      </c>
      <c r="N146" s="54" t="s">
        <v>169</v>
      </c>
    </row>
    <row r="147" spans="1:14" ht="24.75" customHeight="1" x14ac:dyDescent="0.25">
      <c r="A147" s="1">
        <v>1</v>
      </c>
      <c r="B147" s="18" t="s">
        <v>180</v>
      </c>
      <c r="C147" s="1" t="s">
        <v>119</v>
      </c>
      <c r="D147" s="190" t="s">
        <v>1028</v>
      </c>
      <c r="E147" s="191"/>
      <c r="F147" s="1" t="s">
        <v>153</v>
      </c>
      <c r="G147" s="1" t="s">
        <v>1002</v>
      </c>
      <c r="H147" s="1" t="s">
        <v>15</v>
      </c>
      <c r="I147" s="15">
        <v>42825</v>
      </c>
      <c r="J147" s="1" t="s">
        <v>51</v>
      </c>
      <c r="K147" s="8">
        <v>191040636</v>
      </c>
      <c r="L147" s="8">
        <f>K147*0.25</f>
        <v>47760159</v>
      </c>
      <c r="M147" s="8">
        <f>K147+L147</f>
        <v>238800795</v>
      </c>
      <c r="N147" s="176"/>
    </row>
    <row r="148" spans="1:14" ht="15" customHeight="1" x14ac:dyDescent="0.25">
      <c r="A148" s="177" t="s">
        <v>1012</v>
      </c>
      <c r="B148" s="177"/>
      <c r="C148" s="177"/>
      <c r="D148" s="177"/>
      <c r="E148" s="177"/>
      <c r="F148" s="177"/>
      <c r="G148" s="177"/>
      <c r="H148" s="177"/>
      <c r="I148" s="177"/>
      <c r="J148" s="177"/>
      <c r="K148" s="177"/>
      <c r="L148" s="177"/>
      <c r="M148" s="8">
        <v>72699256.579999998</v>
      </c>
      <c r="N148" s="176"/>
    </row>
    <row r="149" spans="1:14" ht="7.5" customHeight="1" x14ac:dyDescent="0.25">
      <c r="L149" s="47"/>
    </row>
    <row r="150" spans="1:14" ht="15" customHeight="1" x14ac:dyDescent="0.25">
      <c r="A150" s="175" t="s">
        <v>12</v>
      </c>
      <c r="B150" s="175"/>
      <c r="C150" s="175"/>
      <c r="D150" s="175"/>
      <c r="E150" s="175"/>
      <c r="F150" s="175"/>
      <c r="G150" s="175"/>
      <c r="H150" s="175"/>
      <c r="I150" s="175"/>
      <c r="J150" s="175"/>
      <c r="K150" s="49"/>
      <c r="L150" s="49"/>
    </row>
    <row r="151" spans="1:14" ht="48" customHeight="1" x14ac:dyDescent="0.25">
      <c r="A151" s="2" t="s">
        <v>0</v>
      </c>
      <c r="B151" s="3" t="s">
        <v>7</v>
      </c>
      <c r="C151" s="3" t="s">
        <v>6</v>
      </c>
      <c r="D151" s="3" t="s">
        <v>8</v>
      </c>
      <c r="E151" s="3" t="s">
        <v>168</v>
      </c>
      <c r="F151" s="3" t="s">
        <v>174</v>
      </c>
      <c r="G151" s="3" t="s">
        <v>175</v>
      </c>
      <c r="H151" s="3" t="s">
        <v>9</v>
      </c>
      <c r="I151" s="3" t="s">
        <v>176</v>
      </c>
      <c r="J151" s="3" t="s">
        <v>10</v>
      </c>
      <c r="K151" s="48"/>
      <c r="L151" s="48"/>
      <c r="M151" s="48"/>
    </row>
    <row r="152" spans="1:14" ht="24" x14ac:dyDescent="0.25">
      <c r="A152" s="1">
        <v>1</v>
      </c>
      <c r="B152" s="74" t="s">
        <v>547</v>
      </c>
      <c r="C152" s="7" t="str">
        <f>"8/2016-I"</f>
        <v>8/2016-I</v>
      </c>
      <c r="D152" s="67">
        <v>43070</v>
      </c>
      <c r="E152" s="67">
        <v>43555</v>
      </c>
      <c r="F152" s="5">
        <v>79927.38</v>
      </c>
      <c r="G152" s="5">
        <v>99909.23</v>
      </c>
      <c r="H152" s="67">
        <v>43100</v>
      </c>
      <c r="I152" s="37">
        <v>1112.9000000000001</v>
      </c>
      <c r="J152" s="72"/>
    </row>
    <row r="153" spans="1:14" ht="24" x14ac:dyDescent="0.25">
      <c r="A153" s="1">
        <v>2</v>
      </c>
      <c r="B153" s="74" t="s">
        <v>197</v>
      </c>
      <c r="C153" s="7" t="str">
        <f>"U089/17"</f>
        <v>U089/17</v>
      </c>
      <c r="D153" s="67">
        <v>43070</v>
      </c>
      <c r="E153" s="67">
        <v>43555</v>
      </c>
      <c r="F153" s="5">
        <v>975521</v>
      </c>
      <c r="G153" s="5">
        <v>1219401.25</v>
      </c>
      <c r="H153" s="67">
        <v>43100</v>
      </c>
      <c r="I153" s="37">
        <v>0</v>
      </c>
      <c r="J153" s="72"/>
    </row>
    <row r="154" spans="1:14" ht="24" x14ac:dyDescent="0.25">
      <c r="A154" s="1">
        <v>3</v>
      </c>
      <c r="B154" s="74" t="s">
        <v>548</v>
      </c>
      <c r="C154" s="7" t="str">
        <f>"44/17"</f>
        <v>44/17</v>
      </c>
      <c r="D154" s="67">
        <v>43109</v>
      </c>
      <c r="E154" s="67">
        <v>43555</v>
      </c>
      <c r="F154" s="5">
        <v>12722.96</v>
      </c>
      <c r="G154" s="5">
        <v>15903.7</v>
      </c>
      <c r="H154" s="164"/>
      <c r="I154" s="166">
        <v>0</v>
      </c>
      <c r="J154" s="72"/>
    </row>
    <row r="155" spans="1:14" ht="24" x14ac:dyDescent="0.25">
      <c r="A155" s="1">
        <v>4</v>
      </c>
      <c r="B155" s="74" t="s">
        <v>549</v>
      </c>
      <c r="C155" s="7" t="str">
        <f>"INA-UG-00585/17"</f>
        <v>INA-UG-00585/17</v>
      </c>
      <c r="D155" s="67">
        <v>43040</v>
      </c>
      <c r="E155" s="67">
        <v>43555</v>
      </c>
      <c r="F155" s="5">
        <v>155159.79999999999</v>
      </c>
      <c r="G155" s="5">
        <v>193949.75</v>
      </c>
      <c r="H155" s="67">
        <v>43100</v>
      </c>
      <c r="I155" s="37">
        <v>9227</v>
      </c>
      <c r="J155" s="72"/>
    </row>
    <row r="156" spans="1:14" ht="24" x14ac:dyDescent="0.25">
      <c r="A156" s="1">
        <v>5</v>
      </c>
      <c r="B156" s="74" t="s">
        <v>550</v>
      </c>
      <c r="C156" s="7" t="str">
        <f>"UG-00597/17"</f>
        <v>UG-00597/17</v>
      </c>
      <c r="D156" s="67">
        <v>43040</v>
      </c>
      <c r="E156" s="67">
        <v>43555</v>
      </c>
      <c r="F156" s="5">
        <v>8075.7</v>
      </c>
      <c r="G156" s="5">
        <v>10094.620000000001</v>
      </c>
      <c r="H156" s="67">
        <v>43100</v>
      </c>
      <c r="I156" s="37">
        <v>2785.9375</v>
      </c>
      <c r="J156" s="72"/>
    </row>
    <row r="157" spans="1:14" ht="24" x14ac:dyDescent="0.25">
      <c r="A157" s="1">
        <v>6</v>
      </c>
      <c r="B157" s="74" t="s">
        <v>551</v>
      </c>
      <c r="C157" s="7" t="str">
        <f>"INA-UG-00595/17"</f>
        <v>INA-UG-00595/17</v>
      </c>
      <c r="D157" s="67">
        <v>43075</v>
      </c>
      <c r="E157" s="67">
        <v>43555</v>
      </c>
      <c r="F157" s="5">
        <v>325500</v>
      </c>
      <c r="G157" s="5">
        <v>406875</v>
      </c>
      <c r="H157" s="67">
        <v>43100</v>
      </c>
      <c r="I157" s="37">
        <v>4474.7624999999998</v>
      </c>
      <c r="J157" s="72"/>
    </row>
    <row r="158" spans="1:14" ht="24" x14ac:dyDescent="0.25">
      <c r="A158" s="1">
        <v>7</v>
      </c>
      <c r="B158" s="74" t="s">
        <v>201</v>
      </c>
      <c r="C158" s="7" t="str">
        <f>"INA-UG-00588/17"</f>
        <v>INA-UG-00588/17</v>
      </c>
      <c r="D158" s="67">
        <v>43040</v>
      </c>
      <c r="E158" s="67">
        <v>43830</v>
      </c>
      <c r="F158" s="5">
        <v>40135.550000000003</v>
      </c>
      <c r="G158" s="5">
        <v>50169.440000000002</v>
      </c>
      <c r="H158" s="67">
        <v>43100</v>
      </c>
      <c r="I158" s="37">
        <v>3584.5125000000003</v>
      </c>
      <c r="J158" s="72"/>
    </row>
    <row r="159" spans="1:14" ht="36" x14ac:dyDescent="0.25">
      <c r="A159" s="1">
        <v>8</v>
      </c>
      <c r="B159" s="74" t="s">
        <v>552</v>
      </c>
      <c r="C159" s="7" t="str">
        <f>"1/2017-1"</f>
        <v>1/2017-1</v>
      </c>
      <c r="D159" s="67">
        <v>43049</v>
      </c>
      <c r="E159" s="67">
        <v>43100</v>
      </c>
      <c r="F159" s="5">
        <v>12585</v>
      </c>
      <c r="G159" s="5">
        <v>15731.25</v>
      </c>
      <c r="H159" s="164"/>
      <c r="I159" s="166">
        <v>0</v>
      </c>
      <c r="J159" s="72"/>
    </row>
    <row r="160" spans="1:14" ht="24" x14ac:dyDescent="0.25">
      <c r="A160" s="1">
        <v>9</v>
      </c>
      <c r="B160" s="74" t="s">
        <v>528</v>
      </c>
      <c r="C160" s="7" t="str">
        <f>"INA-UG-00545/17"</f>
        <v>INA-UG-00545/17</v>
      </c>
      <c r="D160" s="67">
        <v>43003</v>
      </c>
      <c r="E160" s="67">
        <v>43555</v>
      </c>
      <c r="F160" s="5">
        <v>141886.6</v>
      </c>
      <c r="G160" s="5">
        <v>177358.25</v>
      </c>
      <c r="H160" s="164"/>
      <c r="I160" s="166">
        <v>0</v>
      </c>
      <c r="J160" s="72"/>
    </row>
    <row r="161" spans="1:10" ht="24" x14ac:dyDescent="0.25">
      <c r="A161" s="1">
        <v>10</v>
      </c>
      <c r="B161" s="74" t="s">
        <v>553</v>
      </c>
      <c r="C161" s="7" t="str">
        <f>"INA-UG-00536/17"</f>
        <v>INA-UG-00536/17</v>
      </c>
      <c r="D161" s="67">
        <v>42948</v>
      </c>
      <c r="E161" s="67">
        <v>43555</v>
      </c>
      <c r="F161" s="5">
        <v>25660.2</v>
      </c>
      <c r="G161" s="5">
        <v>32075.25</v>
      </c>
      <c r="H161" s="67">
        <v>43100</v>
      </c>
      <c r="I161" s="37">
        <v>4796.2</v>
      </c>
      <c r="J161" s="72"/>
    </row>
    <row r="162" spans="1:10" ht="24" x14ac:dyDescent="0.25">
      <c r="A162" s="1">
        <v>11</v>
      </c>
      <c r="B162" s="74" t="s">
        <v>554</v>
      </c>
      <c r="C162" s="7" t="str">
        <f>"Z-VI-4-3307/17"</f>
        <v>Z-VI-4-3307/17</v>
      </c>
      <c r="D162" s="67">
        <v>42942</v>
      </c>
      <c r="E162" s="67">
        <v>43119</v>
      </c>
      <c r="F162" s="5">
        <v>253142</v>
      </c>
      <c r="G162" s="5">
        <v>316427.5</v>
      </c>
      <c r="H162" s="67">
        <v>43100</v>
      </c>
      <c r="I162" s="37">
        <v>239291.41250000001</v>
      </c>
      <c r="J162" s="72"/>
    </row>
    <row r="163" spans="1:10" ht="24" x14ac:dyDescent="0.25">
      <c r="A163" s="1">
        <v>12</v>
      </c>
      <c r="B163" s="74" t="s">
        <v>535</v>
      </c>
      <c r="C163" s="7" t="str">
        <f>"INA-UG-00531/17"</f>
        <v>INA-UG-00531/17</v>
      </c>
      <c r="D163" s="67">
        <v>42972</v>
      </c>
      <c r="E163" s="67">
        <v>43555</v>
      </c>
      <c r="F163" s="5">
        <v>74168</v>
      </c>
      <c r="G163" s="5">
        <v>92710</v>
      </c>
      <c r="H163" s="67">
        <v>43100</v>
      </c>
      <c r="I163" s="37">
        <v>35708.712500000001</v>
      </c>
      <c r="J163" s="72"/>
    </row>
    <row r="164" spans="1:10" x14ac:dyDescent="0.25">
      <c r="A164" s="1">
        <v>13</v>
      </c>
      <c r="B164" s="74" t="s">
        <v>555</v>
      </c>
      <c r="C164" s="7" t="str">
        <f>"00492/17"</f>
        <v>00492/17</v>
      </c>
      <c r="D164" s="67">
        <v>42929</v>
      </c>
      <c r="E164" s="67">
        <v>43555</v>
      </c>
      <c r="F164" s="5">
        <v>13000</v>
      </c>
      <c r="G164" s="5">
        <v>16250</v>
      </c>
      <c r="H164" s="67">
        <v>43100</v>
      </c>
      <c r="I164" s="37">
        <v>1647.9750000000001</v>
      </c>
      <c r="J164" s="72"/>
    </row>
    <row r="165" spans="1:10" ht="24" x14ac:dyDescent="0.25">
      <c r="A165" s="1">
        <v>14</v>
      </c>
      <c r="B165" s="74" t="s">
        <v>556</v>
      </c>
      <c r="C165" s="7" t="str">
        <f>"INA-UG-00516/17"</f>
        <v>INA-UG-00516/17</v>
      </c>
      <c r="D165" s="67">
        <v>42975</v>
      </c>
      <c r="E165" s="67">
        <v>43678</v>
      </c>
      <c r="F165" s="5">
        <v>184199</v>
      </c>
      <c r="G165" s="5">
        <v>230248.75</v>
      </c>
      <c r="H165" s="67">
        <v>43100</v>
      </c>
      <c r="I165" s="37">
        <v>44668.75</v>
      </c>
      <c r="J165" s="72"/>
    </row>
    <row r="166" spans="1:10" ht="24" x14ac:dyDescent="0.25">
      <c r="A166" s="1">
        <v>15</v>
      </c>
      <c r="B166" s="74" t="s">
        <v>557</v>
      </c>
      <c r="C166" s="7" t="str">
        <f>"INA-UG-00528/17"</f>
        <v>INA-UG-00528/17</v>
      </c>
      <c r="D166" s="67">
        <v>42948</v>
      </c>
      <c r="E166" s="67">
        <v>43555</v>
      </c>
      <c r="F166" s="5">
        <v>43554.3</v>
      </c>
      <c r="G166" s="5">
        <v>54442.879999999997</v>
      </c>
      <c r="H166" s="67">
        <v>43100</v>
      </c>
      <c r="I166" s="37">
        <v>8527.8250000000007</v>
      </c>
      <c r="J166" s="72"/>
    </row>
    <row r="167" spans="1:10" ht="24" x14ac:dyDescent="0.25">
      <c r="A167" s="1">
        <v>16</v>
      </c>
      <c r="B167" s="74" t="s">
        <v>558</v>
      </c>
      <c r="C167" s="7" t="str">
        <f>"INA-UG-00511/17"</f>
        <v>INA-UG-00511/17</v>
      </c>
      <c r="D167" s="67">
        <v>42948</v>
      </c>
      <c r="E167" s="67">
        <v>43555</v>
      </c>
      <c r="F167" s="5">
        <v>18812.25</v>
      </c>
      <c r="G167" s="5">
        <v>23515.31</v>
      </c>
      <c r="H167" s="164"/>
      <c r="I167" s="166">
        <v>0</v>
      </c>
      <c r="J167" s="72"/>
    </row>
    <row r="168" spans="1:10" ht="24" x14ac:dyDescent="0.25">
      <c r="A168" s="1">
        <v>17</v>
      </c>
      <c r="B168" s="74" t="s">
        <v>559</v>
      </c>
      <c r="C168" s="7" t="str">
        <f>"INA-UG-00403/17"</f>
        <v>INA-UG-00403/17</v>
      </c>
      <c r="D168" s="67">
        <v>42907</v>
      </c>
      <c r="E168" s="67">
        <v>43637</v>
      </c>
      <c r="F168" s="5">
        <v>71759</v>
      </c>
      <c r="G168" s="5">
        <v>89698.75</v>
      </c>
      <c r="H168" s="67">
        <v>43100</v>
      </c>
      <c r="I168" s="37">
        <v>32948.0625</v>
      </c>
      <c r="J168" s="72"/>
    </row>
    <row r="169" spans="1:10" ht="24" x14ac:dyDescent="0.25">
      <c r="A169" s="1">
        <v>18</v>
      </c>
      <c r="B169" s="74" t="s">
        <v>560</v>
      </c>
      <c r="C169" s="7" t="str">
        <f>"GORIVO ZA GRUPE 2 I 4"</f>
        <v>GORIVO ZA GRUPE 2 I 4</v>
      </c>
      <c r="D169" s="67">
        <v>42917</v>
      </c>
      <c r="E169" s="67">
        <v>43555</v>
      </c>
      <c r="F169" s="5">
        <v>12850.6</v>
      </c>
      <c r="G169" s="5">
        <v>16063.25</v>
      </c>
      <c r="H169" s="67">
        <v>43100</v>
      </c>
      <c r="I169" s="37">
        <v>7382.6374999999998</v>
      </c>
      <c r="J169" s="72"/>
    </row>
    <row r="170" spans="1:10" ht="24" x14ac:dyDescent="0.25">
      <c r="A170" s="1">
        <v>19</v>
      </c>
      <c r="B170" s="74" t="s">
        <v>561</v>
      </c>
      <c r="C170" s="7" t="str">
        <f>"INA-UG-00513/17"</f>
        <v>INA-UG-00513/17</v>
      </c>
      <c r="D170" s="67">
        <v>42947</v>
      </c>
      <c r="E170" s="67">
        <v>43555</v>
      </c>
      <c r="F170" s="5">
        <v>81662</v>
      </c>
      <c r="G170" s="5">
        <v>102077.5</v>
      </c>
      <c r="H170" s="164"/>
      <c r="I170" s="166">
        <v>0</v>
      </c>
      <c r="J170" s="72"/>
    </row>
    <row r="171" spans="1:10" ht="24" x14ac:dyDescent="0.25">
      <c r="A171" s="1">
        <v>20</v>
      </c>
      <c r="B171" s="74" t="s">
        <v>562</v>
      </c>
      <c r="C171" s="7" t="str">
        <f>"INA-UG-00504/17"</f>
        <v>INA-UG-00504/17</v>
      </c>
      <c r="D171" s="67">
        <v>42928</v>
      </c>
      <c r="E171" s="67">
        <v>43555</v>
      </c>
      <c r="F171" s="5">
        <v>40000</v>
      </c>
      <c r="G171" s="5">
        <v>50000</v>
      </c>
      <c r="H171" s="67">
        <v>43100</v>
      </c>
      <c r="I171" s="37">
        <v>21903.3</v>
      </c>
      <c r="J171" s="72"/>
    </row>
    <row r="172" spans="1:10" ht="24" x14ac:dyDescent="0.25">
      <c r="A172" s="1">
        <v>21</v>
      </c>
      <c r="B172" s="74" t="s">
        <v>563</v>
      </c>
      <c r="C172" s="7" t="str">
        <f>"G-2017"</f>
        <v>G-2017</v>
      </c>
      <c r="D172" s="67">
        <v>42915</v>
      </c>
      <c r="E172" s="67">
        <v>43555</v>
      </c>
      <c r="F172" s="5">
        <v>56110.400000000001</v>
      </c>
      <c r="G172" s="5">
        <v>70138</v>
      </c>
      <c r="H172" s="67">
        <v>43100</v>
      </c>
      <c r="I172" s="55">
        <v>18881.712500000001</v>
      </c>
      <c r="J172" s="1"/>
    </row>
    <row r="173" spans="1:10" ht="24" x14ac:dyDescent="0.25">
      <c r="A173" s="1">
        <v>22</v>
      </c>
      <c r="B173" s="74" t="s">
        <v>564</v>
      </c>
      <c r="C173" s="7" t="str">
        <f>"UG-G/2017"</f>
        <v>UG-G/2017</v>
      </c>
      <c r="D173" s="67">
        <v>42940</v>
      </c>
      <c r="E173" s="67">
        <v>43555</v>
      </c>
      <c r="F173" s="5">
        <v>15473.8</v>
      </c>
      <c r="G173" s="5">
        <v>19342.25</v>
      </c>
      <c r="H173" s="67">
        <v>43100</v>
      </c>
      <c r="I173" s="55">
        <v>2694.1624999999999</v>
      </c>
      <c r="J173" s="1"/>
    </row>
    <row r="174" spans="1:10" ht="24" x14ac:dyDescent="0.25">
      <c r="A174" s="1">
        <v>23</v>
      </c>
      <c r="B174" s="74" t="s">
        <v>200</v>
      </c>
      <c r="C174" s="7" t="str">
        <f>"INA-UG-00479/17"</f>
        <v>INA-UG-00479/17</v>
      </c>
      <c r="D174" s="67">
        <v>42900</v>
      </c>
      <c r="E174" s="67">
        <v>43100</v>
      </c>
      <c r="F174" s="5">
        <v>197466.42</v>
      </c>
      <c r="G174" s="5">
        <v>246833.03</v>
      </c>
      <c r="H174" s="67">
        <v>43100</v>
      </c>
      <c r="I174" s="55">
        <v>91134.125</v>
      </c>
      <c r="J174" s="1"/>
    </row>
    <row r="175" spans="1:10" ht="24" x14ac:dyDescent="0.25">
      <c r="A175" s="1">
        <v>24</v>
      </c>
      <c r="B175" s="74" t="s">
        <v>565</v>
      </c>
      <c r="C175" s="7" t="str">
        <f>"406-07/14-01/2"</f>
        <v>406-07/14-01/2</v>
      </c>
      <c r="D175" s="67">
        <v>42929</v>
      </c>
      <c r="E175" s="67">
        <v>43555</v>
      </c>
      <c r="F175" s="5">
        <v>295455</v>
      </c>
      <c r="G175" s="5">
        <v>369318.75</v>
      </c>
      <c r="H175" s="67">
        <v>43100</v>
      </c>
      <c r="I175" s="55">
        <v>29541.65</v>
      </c>
      <c r="J175" s="1"/>
    </row>
    <row r="176" spans="1:10" ht="36" x14ac:dyDescent="0.25">
      <c r="A176" s="1">
        <v>25</v>
      </c>
      <c r="B176" s="74" t="s">
        <v>566</v>
      </c>
      <c r="C176" s="7" t="str">
        <f>"030-08/17-03/11"</f>
        <v>030-08/17-03/11</v>
      </c>
      <c r="D176" s="67">
        <v>42891</v>
      </c>
      <c r="E176" s="67">
        <v>43495</v>
      </c>
      <c r="F176" s="5">
        <v>131083.5</v>
      </c>
      <c r="G176" s="5">
        <v>163854.38</v>
      </c>
      <c r="H176" s="67">
        <v>43100</v>
      </c>
      <c r="I176" s="55">
        <v>14565.599999999999</v>
      </c>
      <c r="J176" s="1"/>
    </row>
    <row r="177" spans="1:10" ht="24" x14ac:dyDescent="0.25">
      <c r="A177" s="1">
        <v>26</v>
      </c>
      <c r="B177" s="74" t="s">
        <v>567</v>
      </c>
      <c r="C177" s="7" t="str">
        <f>"GRUPA 4-SL. BROD"</f>
        <v>GRUPA 4-SL. BROD</v>
      </c>
      <c r="D177" s="67">
        <v>43031</v>
      </c>
      <c r="E177" s="67">
        <v>43100</v>
      </c>
      <c r="F177" s="5">
        <v>4183596</v>
      </c>
      <c r="G177" s="5">
        <v>5229495</v>
      </c>
      <c r="H177" s="67">
        <v>43100</v>
      </c>
      <c r="I177" s="55">
        <v>72018.100000000006</v>
      </c>
      <c r="J177" s="1"/>
    </row>
    <row r="178" spans="1:10" ht="24" x14ac:dyDescent="0.25">
      <c r="A178" s="1">
        <v>27</v>
      </c>
      <c r="B178" s="74" t="s">
        <v>568</v>
      </c>
      <c r="C178" s="7" t="str">
        <f>"INA-UG-00481T17"</f>
        <v>INA-UG-00481T17</v>
      </c>
      <c r="D178" s="67">
        <v>42914</v>
      </c>
      <c r="E178" s="67">
        <v>43251</v>
      </c>
      <c r="F178" s="5">
        <v>273394.5</v>
      </c>
      <c r="G178" s="5">
        <v>341743.13</v>
      </c>
      <c r="H178" s="67">
        <v>43100</v>
      </c>
      <c r="I178" s="55">
        <v>247871.02500000002</v>
      </c>
      <c r="J178" s="1"/>
    </row>
    <row r="179" spans="1:10" ht="24" x14ac:dyDescent="0.25">
      <c r="A179" s="1">
        <v>28</v>
      </c>
      <c r="B179" s="74" t="s">
        <v>569</v>
      </c>
      <c r="C179" s="7" t="str">
        <f>"1592/17"</f>
        <v>1592/17</v>
      </c>
      <c r="D179" s="67">
        <v>42887</v>
      </c>
      <c r="E179" s="67">
        <v>43616</v>
      </c>
      <c r="F179" s="5">
        <v>50423.3</v>
      </c>
      <c r="G179" s="5">
        <v>63029.13</v>
      </c>
      <c r="H179" s="67">
        <v>43100</v>
      </c>
      <c r="I179" s="55">
        <v>10462.049999999999</v>
      </c>
      <c r="J179" s="1"/>
    </row>
    <row r="180" spans="1:10" ht="24" x14ac:dyDescent="0.25">
      <c r="A180" s="1">
        <v>29</v>
      </c>
      <c r="B180" s="74" t="s">
        <v>570</v>
      </c>
      <c r="C180" s="7" t="str">
        <f>"KLASA: 030-02/17-01/102"</f>
        <v>KLASA: 030-02/17-01/102</v>
      </c>
      <c r="D180" s="67">
        <v>42917</v>
      </c>
      <c r="E180" s="67">
        <v>43555</v>
      </c>
      <c r="F180" s="5">
        <v>188200</v>
      </c>
      <c r="G180" s="5">
        <v>235250</v>
      </c>
      <c r="H180" s="67">
        <v>43100</v>
      </c>
      <c r="I180" s="55">
        <v>36665.700000000004</v>
      </c>
      <c r="J180" s="1"/>
    </row>
    <row r="181" spans="1:10" ht="24" x14ac:dyDescent="0.25">
      <c r="A181" s="1">
        <v>30</v>
      </c>
      <c r="B181" s="74" t="s">
        <v>571</v>
      </c>
      <c r="C181" s="7" t="str">
        <f>"406-01/17-01/3"</f>
        <v>406-01/17-01/3</v>
      </c>
      <c r="D181" s="67">
        <v>42825</v>
      </c>
      <c r="E181" s="67">
        <v>43100</v>
      </c>
      <c r="F181" s="5">
        <v>4183596</v>
      </c>
      <c r="G181" s="5">
        <v>5229495</v>
      </c>
      <c r="H181" s="67">
        <v>43100</v>
      </c>
      <c r="I181" s="55">
        <v>18490.150000000001</v>
      </c>
      <c r="J181" s="1"/>
    </row>
    <row r="182" spans="1:10" ht="60" x14ac:dyDescent="0.25">
      <c r="A182" s="1">
        <v>31</v>
      </c>
      <c r="B182" s="74" t="s">
        <v>468</v>
      </c>
      <c r="C182" s="7" t="str">
        <f>"1/2017-Z"</f>
        <v>1/2017-Z</v>
      </c>
      <c r="D182" s="67">
        <v>42887</v>
      </c>
      <c r="E182" s="67">
        <v>43100</v>
      </c>
      <c r="F182" s="5">
        <v>67980</v>
      </c>
      <c r="G182" s="5">
        <v>84975</v>
      </c>
      <c r="H182" s="67">
        <v>43100</v>
      </c>
      <c r="I182" s="55">
        <v>90925.8</v>
      </c>
      <c r="J182" s="1"/>
    </row>
    <row r="183" spans="1:10" ht="36" x14ac:dyDescent="0.25">
      <c r="A183" s="1">
        <v>32</v>
      </c>
      <c r="B183" s="74" t="s">
        <v>572</v>
      </c>
      <c r="C183" s="7" t="str">
        <f>"01.06.-31.12.2017"</f>
        <v>01.06.-31.12.2017</v>
      </c>
      <c r="D183" s="67">
        <v>42887</v>
      </c>
      <c r="E183" s="67">
        <v>43100</v>
      </c>
      <c r="F183" s="5">
        <v>4160</v>
      </c>
      <c r="G183" s="5">
        <v>5200</v>
      </c>
      <c r="H183" s="67">
        <v>43100</v>
      </c>
      <c r="I183" s="55">
        <v>4478.0625</v>
      </c>
      <c r="J183" s="1"/>
    </row>
    <row r="184" spans="1:10" ht="24" x14ac:dyDescent="0.25">
      <c r="A184" s="1">
        <v>33</v>
      </c>
      <c r="B184" s="74" t="s">
        <v>573</v>
      </c>
      <c r="C184" s="7" t="str">
        <f>"535-08/03-17-139"</f>
        <v>535-08/03-17-139</v>
      </c>
      <c r="D184" s="67">
        <v>43019</v>
      </c>
      <c r="E184" s="67">
        <v>43100</v>
      </c>
      <c r="F184" s="5">
        <v>3825</v>
      </c>
      <c r="G184" s="5">
        <v>4781.25</v>
      </c>
      <c r="H184" s="164"/>
      <c r="I184" s="168">
        <v>0</v>
      </c>
      <c r="J184" s="1"/>
    </row>
    <row r="185" spans="1:10" ht="24" x14ac:dyDescent="0.25">
      <c r="A185" s="1">
        <v>34</v>
      </c>
      <c r="B185" s="74" t="s">
        <v>574</v>
      </c>
      <c r="C185" s="7" t="str">
        <f>"8/2016-10/17"</f>
        <v>8/2016-10/17</v>
      </c>
      <c r="D185" s="67">
        <v>42825</v>
      </c>
      <c r="E185" s="67">
        <v>43100</v>
      </c>
      <c r="F185" s="5">
        <v>4183596</v>
      </c>
      <c r="G185" s="5">
        <v>5229495</v>
      </c>
      <c r="H185" s="67">
        <v>43100</v>
      </c>
      <c r="I185" s="55">
        <v>9220.4249999999993</v>
      </c>
      <c r="J185" s="1"/>
    </row>
    <row r="186" spans="1:10" ht="24" x14ac:dyDescent="0.25">
      <c r="A186" s="1">
        <v>35</v>
      </c>
      <c r="B186" s="74" t="s">
        <v>575</v>
      </c>
      <c r="C186" s="7" t="str">
        <f>"KLASA:030-01/17-04/8"</f>
        <v>KLASA:030-01/17-04/8</v>
      </c>
      <c r="D186" s="67">
        <v>42909</v>
      </c>
      <c r="E186" s="67">
        <v>43100</v>
      </c>
      <c r="F186" s="5">
        <v>31906</v>
      </c>
      <c r="G186" s="5">
        <v>39882.5</v>
      </c>
      <c r="H186" s="67">
        <v>43100</v>
      </c>
      <c r="I186" s="55">
        <v>26875.050000000003</v>
      </c>
      <c r="J186" s="1"/>
    </row>
    <row r="187" spans="1:10" ht="24" x14ac:dyDescent="0.25">
      <c r="A187" s="1">
        <v>36</v>
      </c>
      <c r="B187" s="74" t="s">
        <v>576</v>
      </c>
      <c r="C187" s="7" t="str">
        <f>"030-01-17-04-8"</f>
        <v>030-01-17-04-8</v>
      </c>
      <c r="D187" s="67">
        <v>42909</v>
      </c>
      <c r="E187" s="67">
        <v>43100</v>
      </c>
      <c r="F187" s="5">
        <v>11500</v>
      </c>
      <c r="G187" s="5">
        <v>14375</v>
      </c>
      <c r="H187" s="67">
        <v>43100</v>
      </c>
      <c r="I187" s="55">
        <v>9591.2999999999993</v>
      </c>
      <c r="J187" s="1"/>
    </row>
    <row r="188" spans="1:10" ht="24" x14ac:dyDescent="0.25">
      <c r="A188" s="1">
        <v>37</v>
      </c>
      <c r="B188" s="74" t="s">
        <v>577</v>
      </c>
      <c r="C188" s="7" t="str">
        <f>"KLASA: 030-01/17-04/8"</f>
        <v>KLASA: 030-01/17-04/8</v>
      </c>
      <c r="D188" s="67">
        <v>42909</v>
      </c>
      <c r="E188" s="67">
        <v>43100</v>
      </c>
      <c r="F188" s="5">
        <v>14000</v>
      </c>
      <c r="G188" s="5">
        <v>17500</v>
      </c>
      <c r="H188" s="67">
        <v>43100</v>
      </c>
      <c r="I188" s="55">
        <v>5915.875</v>
      </c>
      <c r="J188" s="1"/>
    </row>
    <row r="189" spans="1:10" ht="24" x14ac:dyDescent="0.25">
      <c r="A189" s="1">
        <v>38</v>
      </c>
      <c r="B189" s="74" t="s">
        <v>544</v>
      </c>
      <c r="C189" s="7" t="str">
        <f>"GORIVO451/17"</f>
        <v>GORIVO451/17</v>
      </c>
      <c r="D189" s="67">
        <v>42825</v>
      </c>
      <c r="E189" s="67">
        <v>43100</v>
      </c>
      <c r="F189" s="5">
        <v>4183596</v>
      </c>
      <c r="G189" s="5">
        <v>5229495</v>
      </c>
      <c r="H189" s="67">
        <v>43100</v>
      </c>
      <c r="I189" s="55">
        <v>47672.112500000003</v>
      </c>
      <c r="J189" s="1"/>
    </row>
    <row r="190" spans="1:10" ht="24" x14ac:dyDescent="0.25">
      <c r="A190" s="1">
        <v>39</v>
      </c>
      <c r="B190" s="74" t="s">
        <v>578</v>
      </c>
      <c r="C190" s="7" t="str">
        <f>"GRUPA 4. GORIVO"</f>
        <v>GRUPA 4. GORIVO</v>
      </c>
      <c r="D190" s="67">
        <v>42909</v>
      </c>
      <c r="E190" s="67">
        <v>43100</v>
      </c>
      <c r="F190" s="5">
        <v>58428810</v>
      </c>
      <c r="G190" s="5">
        <v>73036012.5</v>
      </c>
      <c r="H190" s="67">
        <v>43100</v>
      </c>
      <c r="I190" s="55">
        <v>9517.1</v>
      </c>
      <c r="J190" s="1"/>
    </row>
    <row r="191" spans="1:10" ht="24" x14ac:dyDescent="0.25">
      <c r="A191" s="1">
        <v>40</v>
      </c>
      <c r="B191" s="74" t="s">
        <v>579</v>
      </c>
      <c r="C191" s="7" t="str">
        <f>"POSI.R-401-02-26/17-03/14"</f>
        <v>POSI.R-401-02-26/17-03/14</v>
      </c>
      <c r="D191" s="67">
        <v>42870</v>
      </c>
      <c r="E191" s="67">
        <v>43252</v>
      </c>
      <c r="F191" s="5">
        <v>6738.12</v>
      </c>
      <c r="G191" s="5">
        <v>8422.65</v>
      </c>
      <c r="H191" s="67">
        <v>43100</v>
      </c>
      <c r="I191" s="55">
        <v>5513.4875000000002</v>
      </c>
      <c r="J191" s="1"/>
    </row>
    <row r="192" spans="1:10" ht="36" x14ac:dyDescent="0.25">
      <c r="A192" s="1">
        <v>41</v>
      </c>
      <c r="B192" s="74" t="s">
        <v>486</v>
      </c>
      <c r="C192" s="7" t="str">
        <f>"UGOVOR  O NAB GORIVA GR 2,3,4"</f>
        <v>UGOVOR  O NAB GORIVA GR 2,3,4</v>
      </c>
      <c r="D192" s="67">
        <v>42825</v>
      </c>
      <c r="E192" s="67">
        <v>43251</v>
      </c>
      <c r="F192" s="5">
        <v>37000</v>
      </c>
      <c r="G192" s="5">
        <v>46250</v>
      </c>
      <c r="H192" s="67">
        <v>43100</v>
      </c>
      <c r="I192" s="55">
        <v>22371.550000000003</v>
      </c>
      <c r="J192" s="1"/>
    </row>
    <row r="193" spans="1:10" ht="24" x14ac:dyDescent="0.25">
      <c r="A193" s="1">
        <v>42</v>
      </c>
      <c r="B193" s="74" t="s">
        <v>580</v>
      </c>
      <c r="C193" s="7" t="str">
        <f>"406-05/17-01/6"</f>
        <v>406-05/17-01/6</v>
      </c>
      <c r="D193" s="67">
        <v>42936</v>
      </c>
      <c r="E193" s="67">
        <v>43100</v>
      </c>
      <c r="F193" s="5">
        <v>100210.7</v>
      </c>
      <c r="G193" s="5">
        <v>125263.38</v>
      </c>
      <c r="H193" s="67">
        <v>43042</v>
      </c>
      <c r="I193" s="55">
        <v>42929.025000000001</v>
      </c>
      <c r="J193" s="1"/>
    </row>
    <row r="194" spans="1:10" x14ac:dyDescent="0.25">
      <c r="A194" s="1">
        <v>43</v>
      </c>
      <c r="B194" s="74" t="s">
        <v>581</v>
      </c>
      <c r="C194" s="7" t="str">
        <f>"INA-UG-00462"</f>
        <v>INA-UG-00462</v>
      </c>
      <c r="D194" s="67">
        <v>42900</v>
      </c>
      <c r="E194" s="67">
        <v>43617</v>
      </c>
      <c r="F194" s="5">
        <v>14379.5</v>
      </c>
      <c r="G194" s="5">
        <v>17974.38</v>
      </c>
      <c r="H194" s="67">
        <v>43100</v>
      </c>
      <c r="I194" s="55">
        <v>8047.3</v>
      </c>
      <c r="J194" s="1"/>
    </row>
    <row r="195" spans="1:10" ht="24" x14ac:dyDescent="0.25">
      <c r="A195" s="1">
        <v>44</v>
      </c>
      <c r="B195" s="74" t="s">
        <v>467</v>
      </c>
      <c r="C195" s="7" t="str">
        <f>"353-06-02/2-17-1"</f>
        <v>353-06-02/2-17-1</v>
      </c>
      <c r="D195" s="67">
        <v>42884</v>
      </c>
      <c r="E195" s="67">
        <v>43555</v>
      </c>
      <c r="F195" s="5">
        <v>19200</v>
      </c>
      <c r="G195" s="5">
        <v>24000</v>
      </c>
      <c r="H195" s="67">
        <v>43100</v>
      </c>
      <c r="I195" s="55">
        <v>3212.9624999999996</v>
      </c>
      <c r="J195" s="1"/>
    </row>
    <row r="196" spans="1:10" ht="24" x14ac:dyDescent="0.25">
      <c r="A196" s="1">
        <v>45</v>
      </c>
      <c r="B196" s="74" t="s">
        <v>582</v>
      </c>
      <c r="C196" s="7" t="str">
        <f>"INA-UG-00474/17"</f>
        <v>INA-UG-00474/17</v>
      </c>
      <c r="D196" s="67">
        <v>42913</v>
      </c>
      <c r="E196" s="67">
        <v>43190</v>
      </c>
      <c r="F196" s="5">
        <v>147936.25</v>
      </c>
      <c r="G196" s="5">
        <v>184920.31</v>
      </c>
      <c r="H196" s="67">
        <v>43100</v>
      </c>
      <c r="I196" s="55">
        <v>40643.387499999997</v>
      </c>
      <c r="J196" s="1"/>
    </row>
    <row r="197" spans="1:10" ht="36" x14ac:dyDescent="0.25">
      <c r="A197" s="1">
        <v>46</v>
      </c>
      <c r="B197" s="74" t="s">
        <v>97</v>
      </c>
      <c r="C197" s="7" t="str">
        <f>"030-01/17-04/8"</f>
        <v>030-01/17-04/8</v>
      </c>
      <c r="D197" s="67">
        <v>42909</v>
      </c>
      <c r="E197" s="67">
        <v>43100</v>
      </c>
      <c r="F197" s="5">
        <v>4183596</v>
      </c>
      <c r="G197" s="5">
        <v>5229495</v>
      </c>
      <c r="H197" s="67">
        <v>43100</v>
      </c>
      <c r="I197" s="55">
        <v>1400605.9624999999</v>
      </c>
      <c r="J197" s="1"/>
    </row>
    <row r="198" spans="1:10" ht="24" x14ac:dyDescent="0.25">
      <c r="A198" s="1">
        <v>47</v>
      </c>
      <c r="B198" s="74" t="s">
        <v>583</v>
      </c>
      <c r="C198" s="7" t="str">
        <f>"INA-UG-00450/17"</f>
        <v>INA-UG-00450/17</v>
      </c>
      <c r="D198" s="67">
        <v>42886</v>
      </c>
      <c r="E198" s="67">
        <v>43555</v>
      </c>
      <c r="F198" s="5">
        <v>84578</v>
      </c>
      <c r="G198" s="5">
        <v>105722.5</v>
      </c>
      <c r="H198" s="67">
        <v>43100</v>
      </c>
      <c r="I198" s="55">
        <v>18485.849999999999</v>
      </c>
      <c r="J198" s="1"/>
    </row>
    <row r="199" spans="1:10" ht="36" x14ac:dyDescent="0.25">
      <c r="A199" s="1">
        <v>48</v>
      </c>
      <c r="B199" s="74" t="s">
        <v>584</v>
      </c>
      <c r="C199" s="7" t="str">
        <f>"UGOVOR - GORIVO GRUPE 2,3,4"</f>
        <v>UGOVOR - GORIVO GRUPE 2,3,4</v>
      </c>
      <c r="D199" s="67">
        <v>42825</v>
      </c>
      <c r="E199" s="67">
        <v>43616</v>
      </c>
      <c r="F199" s="5">
        <v>105219.4</v>
      </c>
      <c r="G199" s="5">
        <v>131524.25</v>
      </c>
      <c r="H199" s="67">
        <v>43100</v>
      </c>
      <c r="I199" s="55">
        <v>62116.337500000001</v>
      </c>
      <c r="J199" s="1"/>
    </row>
    <row r="200" spans="1:10" ht="24" x14ac:dyDescent="0.25">
      <c r="A200" s="1">
        <v>49</v>
      </c>
      <c r="B200" s="74" t="s">
        <v>585</v>
      </c>
      <c r="C200" s="7" t="str">
        <f>"406-01/17-01/008"</f>
        <v>406-01/17-01/008</v>
      </c>
      <c r="D200" s="67">
        <v>42902</v>
      </c>
      <c r="E200" s="67">
        <v>43616</v>
      </c>
      <c r="F200" s="5">
        <v>39498</v>
      </c>
      <c r="G200" s="5">
        <v>49372.5</v>
      </c>
      <c r="H200" s="67">
        <v>43100</v>
      </c>
      <c r="I200" s="55">
        <v>13937.85</v>
      </c>
      <c r="J200" s="1"/>
    </row>
    <row r="201" spans="1:10" x14ac:dyDescent="0.25">
      <c r="A201" s="1">
        <v>50</v>
      </c>
      <c r="B201" s="74" t="s">
        <v>586</v>
      </c>
      <c r="C201" s="7" t="str">
        <f>"374-17"</f>
        <v>374-17</v>
      </c>
      <c r="D201" s="67">
        <v>42897</v>
      </c>
      <c r="E201" s="67">
        <v>43555</v>
      </c>
      <c r="F201" s="5">
        <v>22400</v>
      </c>
      <c r="G201" s="5">
        <v>28000</v>
      </c>
      <c r="H201" s="67">
        <v>43100</v>
      </c>
      <c r="I201" s="55">
        <v>15835.4125</v>
      </c>
      <c r="J201" s="1"/>
    </row>
    <row r="202" spans="1:10" x14ac:dyDescent="0.25">
      <c r="A202" s="1">
        <v>51</v>
      </c>
      <c r="B202" s="74" t="s">
        <v>587</v>
      </c>
      <c r="C202" s="7" t="str">
        <f>"606-09/17"</f>
        <v>606-09/17</v>
      </c>
      <c r="D202" s="67">
        <v>42878</v>
      </c>
      <c r="E202" s="67">
        <v>43555</v>
      </c>
      <c r="F202" s="5">
        <v>178923</v>
      </c>
      <c r="G202" s="5">
        <v>223653.75</v>
      </c>
      <c r="H202" s="67">
        <v>43100</v>
      </c>
      <c r="I202" s="55">
        <v>31527.587500000001</v>
      </c>
      <c r="J202" s="1"/>
    </row>
    <row r="203" spans="1:10" ht="24" x14ac:dyDescent="0.25">
      <c r="A203" s="1">
        <v>52</v>
      </c>
      <c r="B203" s="74" t="s">
        <v>588</v>
      </c>
      <c r="C203" s="7" t="str">
        <f>"UG-00475/17"</f>
        <v>UG-00475/17</v>
      </c>
      <c r="D203" s="67">
        <v>42887</v>
      </c>
      <c r="E203" s="67">
        <v>43617</v>
      </c>
      <c r="F203" s="5">
        <v>108390</v>
      </c>
      <c r="G203" s="5">
        <v>135487.5</v>
      </c>
      <c r="H203" s="67">
        <v>43100</v>
      </c>
      <c r="I203" s="55">
        <v>43259.387500000004</v>
      </c>
      <c r="J203" s="1"/>
    </row>
    <row r="204" spans="1:10" ht="24" x14ac:dyDescent="0.25">
      <c r="A204" s="1">
        <v>53</v>
      </c>
      <c r="B204" s="74" t="s">
        <v>508</v>
      </c>
      <c r="C204" s="7" t="str">
        <f>"INA-UG-00456/17"</f>
        <v>INA-UG-00456/17</v>
      </c>
      <c r="D204" s="67">
        <v>42887</v>
      </c>
      <c r="E204" s="67">
        <v>43617</v>
      </c>
      <c r="F204" s="5">
        <v>320000</v>
      </c>
      <c r="G204" s="5">
        <v>400000</v>
      </c>
      <c r="H204" s="67">
        <v>43100</v>
      </c>
      <c r="I204" s="55">
        <v>100540.91249999999</v>
      </c>
      <c r="J204" s="1"/>
    </row>
    <row r="205" spans="1:10" ht="24" x14ac:dyDescent="0.25">
      <c r="A205" s="1">
        <v>54</v>
      </c>
      <c r="B205" s="74" t="s">
        <v>589</v>
      </c>
      <c r="C205" s="7" t="str">
        <f>"GORIVO"</f>
        <v>GORIVO</v>
      </c>
      <c r="D205" s="67">
        <v>42916</v>
      </c>
      <c r="E205" s="67">
        <v>43616</v>
      </c>
      <c r="F205" s="5">
        <v>263541.7</v>
      </c>
      <c r="G205" s="5">
        <v>329427.13</v>
      </c>
      <c r="H205" s="67">
        <v>43100</v>
      </c>
      <c r="I205" s="55">
        <v>100999.45</v>
      </c>
      <c r="J205" s="1"/>
    </row>
    <row r="206" spans="1:10" ht="24" x14ac:dyDescent="0.25">
      <c r="A206" s="1">
        <v>55</v>
      </c>
      <c r="B206" s="74" t="s">
        <v>590</v>
      </c>
      <c r="C206" s="7" t="str">
        <f>"406-07/17-02/2"</f>
        <v>406-07/17-02/2</v>
      </c>
      <c r="D206" s="67">
        <v>42830</v>
      </c>
      <c r="E206" s="67">
        <v>43555</v>
      </c>
      <c r="F206" s="5">
        <v>55133.760000000002</v>
      </c>
      <c r="G206" s="5">
        <v>68917.2</v>
      </c>
      <c r="H206" s="67">
        <v>43100</v>
      </c>
      <c r="I206" s="55">
        <v>9421.9750000000004</v>
      </c>
      <c r="J206" s="1"/>
    </row>
    <row r="207" spans="1:10" ht="24" x14ac:dyDescent="0.25">
      <c r="A207" s="1">
        <v>56</v>
      </c>
      <c r="B207" s="74" t="s">
        <v>538</v>
      </c>
      <c r="C207" s="7" t="str">
        <f>"579/17"</f>
        <v>579/17</v>
      </c>
      <c r="D207" s="67">
        <v>42912</v>
      </c>
      <c r="E207" s="67">
        <v>43555</v>
      </c>
      <c r="F207" s="5">
        <v>985670.6</v>
      </c>
      <c r="G207" s="5">
        <v>1232088.25</v>
      </c>
      <c r="H207" s="67">
        <v>43100</v>
      </c>
      <c r="I207" s="55">
        <v>261080.91250000001</v>
      </c>
      <c r="J207" s="1"/>
    </row>
    <row r="208" spans="1:10" ht="24" x14ac:dyDescent="0.25">
      <c r="A208" s="1">
        <v>57</v>
      </c>
      <c r="B208" s="74" t="s">
        <v>534</v>
      </c>
      <c r="C208" s="7" t="str">
        <f>"561-01-17-1108"</f>
        <v>561-01-17-1108</v>
      </c>
      <c r="D208" s="67">
        <v>42864</v>
      </c>
      <c r="E208" s="67">
        <v>43555</v>
      </c>
      <c r="F208" s="5">
        <v>171530</v>
      </c>
      <c r="G208" s="5">
        <v>214412.5</v>
      </c>
      <c r="H208" s="67">
        <v>43100</v>
      </c>
      <c r="I208" s="55">
        <v>32684.225000000002</v>
      </c>
      <c r="J208" s="1"/>
    </row>
    <row r="209" spans="1:10" x14ac:dyDescent="0.25">
      <c r="A209" s="1">
        <v>58</v>
      </c>
      <c r="B209" s="74" t="s">
        <v>478</v>
      </c>
      <c r="C209" s="7" t="str">
        <f>"III - 1/2017"</f>
        <v>III - 1/2017</v>
      </c>
      <c r="D209" s="67">
        <v>42872</v>
      </c>
      <c r="E209" s="67">
        <v>43555</v>
      </c>
      <c r="F209" s="5">
        <v>14600</v>
      </c>
      <c r="G209" s="5">
        <v>18250</v>
      </c>
      <c r="H209" s="67">
        <v>43100</v>
      </c>
      <c r="I209" s="55">
        <v>4168.4875000000002</v>
      </c>
      <c r="J209" s="1"/>
    </row>
    <row r="210" spans="1:10" ht="24" x14ac:dyDescent="0.25">
      <c r="A210" s="1">
        <v>59</v>
      </c>
      <c r="B210" s="74" t="s">
        <v>591</v>
      </c>
      <c r="C210" s="7" t="str">
        <f>"INA-UG-00256/17"</f>
        <v>INA-UG-00256/17</v>
      </c>
      <c r="D210" s="67">
        <v>42853</v>
      </c>
      <c r="E210" s="67">
        <v>43100</v>
      </c>
      <c r="F210" s="5">
        <v>87437</v>
      </c>
      <c r="G210" s="5">
        <v>109296.25</v>
      </c>
      <c r="H210" s="67">
        <v>43100</v>
      </c>
      <c r="I210" s="55">
        <v>45716</v>
      </c>
      <c r="J210" s="1"/>
    </row>
    <row r="211" spans="1:10" ht="24" x14ac:dyDescent="0.25">
      <c r="A211" s="1">
        <v>60</v>
      </c>
      <c r="B211" s="74" t="s">
        <v>592</v>
      </c>
      <c r="C211" s="7" t="str">
        <f>"10-231-1/2-2017"</f>
        <v>10-231-1/2-2017</v>
      </c>
      <c r="D211" s="67">
        <v>42839</v>
      </c>
      <c r="E211" s="67">
        <v>43220</v>
      </c>
      <c r="F211" s="5">
        <v>52287</v>
      </c>
      <c r="G211" s="5">
        <v>65358.75</v>
      </c>
      <c r="H211" s="67">
        <v>43100</v>
      </c>
      <c r="I211" s="55">
        <v>54830.662499999999</v>
      </c>
      <c r="J211" s="1"/>
    </row>
    <row r="212" spans="1:10" ht="24" x14ac:dyDescent="0.25">
      <c r="A212" s="1">
        <v>61</v>
      </c>
      <c r="B212" s="74" t="s">
        <v>490</v>
      </c>
      <c r="C212" s="7" t="str">
        <f>"INA-UG-00346/17"</f>
        <v>INA-UG-00346/17</v>
      </c>
      <c r="D212" s="67">
        <v>42838</v>
      </c>
      <c r="E212" s="67">
        <v>43100</v>
      </c>
      <c r="F212" s="5">
        <v>147844.5</v>
      </c>
      <c r="G212" s="5">
        <v>184805.63</v>
      </c>
      <c r="H212" s="67">
        <v>43100</v>
      </c>
      <c r="I212" s="55">
        <v>67372.600000000006</v>
      </c>
      <c r="J212" s="1"/>
    </row>
    <row r="213" spans="1:10" x14ac:dyDescent="0.25">
      <c r="A213" s="1">
        <v>62</v>
      </c>
      <c r="B213" s="74" t="s">
        <v>495</v>
      </c>
      <c r="C213" s="7" t="str">
        <f>"243-U/17."</f>
        <v>243-U/17.</v>
      </c>
      <c r="D213" s="67">
        <v>42878</v>
      </c>
      <c r="E213" s="67">
        <v>43189</v>
      </c>
      <c r="F213" s="5">
        <v>296858.5</v>
      </c>
      <c r="G213" s="5">
        <v>371073.13</v>
      </c>
      <c r="H213" s="67">
        <v>43100</v>
      </c>
      <c r="I213" s="55">
        <v>145202.35</v>
      </c>
      <c r="J213" s="1"/>
    </row>
    <row r="214" spans="1:10" x14ac:dyDescent="0.25">
      <c r="A214" s="1">
        <v>63</v>
      </c>
      <c r="B214" s="74" t="s">
        <v>593</v>
      </c>
      <c r="C214" s="7" t="str">
        <f>"A-244/2017"</f>
        <v>A-244/2017</v>
      </c>
      <c r="D214" s="67">
        <v>42880</v>
      </c>
      <c r="E214" s="67">
        <v>43555</v>
      </c>
      <c r="F214" s="5">
        <v>218303</v>
      </c>
      <c r="G214" s="5">
        <v>272878.75</v>
      </c>
      <c r="H214" s="67">
        <v>43100</v>
      </c>
      <c r="I214" s="55">
        <v>51488.6875</v>
      </c>
      <c r="J214" s="1"/>
    </row>
    <row r="215" spans="1:10" ht="36" x14ac:dyDescent="0.25">
      <c r="A215" s="1">
        <v>64</v>
      </c>
      <c r="B215" s="74" t="s">
        <v>594</v>
      </c>
      <c r="C215" s="7" t="str">
        <f>"406-01/16-03/13"</f>
        <v>406-01/16-03/13</v>
      </c>
      <c r="D215" s="67">
        <v>42851</v>
      </c>
      <c r="E215" s="67">
        <v>43221</v>
      </c>
      <c r="F215" s="5">
        <v>145124.6</v>
      </c>
      <c r="G215" s="5">
        <v>181405.75</v>
      </c>
      <c r="H215" s="67">
        <v>43100</v>
      </c>
      <c r="I215" s="55">
        <v>133168.02499999999</v>
      </c>
      <c r="J215" s="1"/>
    </row>
    <row r="216" spans="1:10" ht="24" x14ac:dyDescent="0.25">
      <c r="A216" s="1">
        <v>65</v>
      </c>
      <c r="B216" s="74" t="s">
        <v>595</v>
      </c>
      <c r="C216" s="7" t="str">
        <f>"406-01/17-01/12"</f>
        <v>406-01/17-01/12</v>
      </c>
      <c r="D216" s="67">
        <v>42850</v>
      </c>
      <c r="E216" s="67">
        <v>43220</v>
      </c>
      <c r="F216" s="5">
        <v>50525.8</v>
      </c>
      <c r="G216" s="5">
        <v>63157.25</v>
      </c>
      <c r="H216" s="67">
        <v>43024</v>
      </c>
      <c r="I216" s="55">
        <v>21107.237500000003</v>
      </c>
      <c r="J216" s="1"/>
    </row>
    <row r="217" spans="1:10" ht="24" x14ac:dyDescent="0.25">
      <c r="A217" s="1">
        <v>66</v>
      </c>
      <c r="B217" s="74" t="s">
        <v>596</v>
      </c>
      <c r="C217" s="7" t="str">
        <f>"INA-UG-00372/17"</f>
        <v>INA-UG-00372/17</v>
      </c>
      <c r="D217" s="67">
        <v>42872</v>
      </c>
      <c r="E217" s="67">
        <v>43100</v>
      </c>
      <c r="F217" s="5">
        <v>389710</v>
      </c>
      <c r="G217" s="5">
        <v>487137.5</v>
      </c>
      <c r="H217" s="67">
        <v>43100</v>
      </c>
      <c r="I217" s="55">
        <v>285831.36249999999</v>
      </c>
      <c r="J217" s="1"/>
    </row>
    <row r="218" spans="1:10" x14ac:dyDescent="0.25">
      <c r="A218" s="1">
        <v>67</v>
      </c>
      <c r="B218" s="74" t="s">
        <v>198</v>
      </c>
      <c r="C218" s="7" t="str">
        <f>"P/14998169"</f>
        <v>P/14998169</v>
      </c>
      <c r="D218" s="67">
        <v>42870</v>
      </c>
      <c r="E218" s="67">
        <v>43220</v>
      </c>
      <c r="F218" s="5">
        <v>2884918.12</v>
      </c>
      <c r="G218" s="5">
        <v>3606147.65</v>
      </c>
      <c r="H218" s="67">
        <v>43100</v>
      </c>
      <c r="I218" s="55">
        <v>1585225.2249999999</v>
      </c>
      <c r="J218" s="1"/>
    </row>
    <row r="219" spans="1:10" ht="24" x14ac:dyDescent="0.25">
      <c r="A219" s="1">
        <v>68</v>
      </c>
      <c r="B219" s="74" t="s">
        <v>597</v>
      </c>
      <c r="C219" s="7" t="str">
        <f>"102101/1145"</f>
        <v>102101/1145</v>
      </c>
      <c r="D219" s="67">
        <v>42885</v>
      </c>
      <c r="E219" s="67">
        <v>43100</v>
      </c>
      <c r="F219" s="5">
        <v>289432</v>
      </c>
      <c r="G219" s="5">
        <v>361790</v>
      </c>
      <c r="H219" s="67">
        <v>43100</v>
      </c>
      <c r="I219" s="55">
        <v>292524.52500000002</v>
      </c>
      <c r="J219" s="1"/>
    </row>
    <row r="220" spans="1:10" ht="36" x14ac:dyDescent="0.25">
      <c r="A220" s="1">
        <v>69</v>
      </c>
      <c r="B220" s="74" t="s">
        <v>598</v>
      </c>
      <c r="C220" s="7" t="str">
        <f>"INA-UG-00355/17"</f>
        <v>INA-UG-00355/17</v>
      </c>
      <c r="D220" s="67">
        <v>42825</v>
      </c>
      <c r="E220" s="67">
        <v>43220</v>
      </c>
      <c r="F220" s="5">
        <v>72000</v>
      </c>
      <c r="G220" s="5">
        <v>90000</v>
      </c>
      <c r="H220" s="67">
        <v>43100</v>
      </c>
      <c r="I220" s="55">
        <v>41333.5625</v>
      </c>
      <c r="J220" s="1"/>
    </row>
    <row r="221" spans="1:10" ht="36" x14ac:dyDescent="0.25">
      <c r="A221" s="1">
        <v>70</v>
      </c>
      <c r="B221" s="74" t="s">
        <v>599</v>
      </c>
      <c r="C221" s="7" t="str">
        <f>"031-11/14-02/01"</f>
        <v>031-11/14-02/01</v>
      </c>
      <c r="D221" s="67">
        <v>42880</v>
      </c>
      <c r="E221" s="67">
        <v>43100</v>
      </c>
      <c r="F221" s="5">
        <v>88000</v>
      </c>
      <c r="G221" s="5">
        <v>110000</v>
      </c>
      <c r="H221" s="67">
        <v>43100</v>
      </c>
      <c r="I221" s="55">
        <v>35875.9</v>
      </c>
      <c r="J221" s="1"/>
    </row>
    <row r="222" spans="1:10" ht="24" x14ac:dyDescent="0.25">
      <c r="A222" s="1">
        <v>71</v>
      </c>
      <c r="B222" s="74" t="s">
        <v>600</v>
      </c>
      <c r="C222" s="7" t="str">
        <f>"R-37/2016"</f>
        <v>R-37/2016</v>
      </c>
      <c r="D222" s="67">
        <v>42853</v>
      </c>
      <c r="E222" s="67">
        <v>43555</v>
      </c>
      <c r="F222" s="5">
        <v>9081.7000000000007</v>
      </c>
      <c r="G222" s="5">
        <v>11352.13</v>
      </c>
      <c r="H222" s="67">
        <v>43100</v>
      </c>
      <c r="I222" s="55">
        <v>2659.1750000000002</v>
      </c>
      <c r="J222" s="1"/>
    </row>
    <row r="223" spans="1:10" ht="36" x14ac:dyDescent="0.25">
      <c r="A223" s="1">
        <v>72</v>
      </c>
      <c r="B223" s="74" t="s">
        <v>601</v>
      </c>
      <c r="C223" s="7" t="str">
        <f>"7-49/2017"</f>
        <v>7-49/2017</v>
      </c>
      <c r="D223" s="67">
        <v>42879</v>
      </c>
      <c r="E223" s="67">
        <v>43220</v>
      </c>
      <c r="F223" s="5">
        <v>10349.450000000001</v>
      </c>
      <c r="G223" s="5">
        <v>12936.81</v>
      </c>
      <c r="H223" s="67">
        <v>43100</v>
      </c>
      <c r="I223" s="55">
        <v>3785.7875000000004</v>
      </c>
      <c r="J223" s="1"/>
    </row>
    <row r="224" spans="1:10" ht="24" x14ac:dyDescent="0.25">
      <c r="A224" s="1">
        <v>73</v>
      </c>
      <c r="B224" s="74" t="s">
        <v>602</v>
      </c>
      <c r="C224" s="7" t="str">
        <f>"INA-UG-00356/17"</f>
        <v>INA-UG-00356/17</v>
      </c>
      <c r="D224" s="67">
        <v>42852</v>
      </c>
      <c r="E224" s="67">
        <v>43555</v>
      </c>
      <c r="F224" s="5">
        <v>106959.6</v>
      </c>
      <c r="G224" s="5">
        <v>133699.5</v>
      </c>
      <c r="H224" s="67">
        <v>43100</v>
      </c>
      <c r="I224" s="55">
        <v>53045.775000000001</v>
      </c>
      <c r="J224" s="1"/>
    </row>
    <row r="225" spans="1:10" ht="24" x14ac:dyDescent="0.25">
      <c r="A225" s="1">
        <v>74</v>
      </c>
      <c r="B225" s="74" t="s">
        <v>603</v>
      </c>
      <c r="C225" s="7" t="str">
        <f>" 8/2016-I"</f>
        <v xml:space="preserve"> 8/2016-I</v>
      </c>
      <c r="D225" s="67">
        <v>42888</v>
      </c>
      <c r="E225" s="67">
        <v>43221</v>
      </c>
      <c r="F225" s="5">
        <v>417924</v>
      </c>
      <c r="G225" s="5">
        <v>522405</v>
      </c>
      <c r="H225" s="67">
        <v>43100</v>
      </c>
      <c r="I225" s="55">
        <v>45071.850000000006</v>
      </c>
      <c r="J225" s="1"/>
    </row>
    <row r="226" spans="1:10" ht="24" x14ac:dyDescent="0.25">
      <c r="A226" s="1">
        <v>75</v>
      </c>
      <c r="B226" s="74" t="s">
        <v>193</v>
      </c>
      <c r="C226" s="7" t="str">
        <f>"9-9-17-4"</f>
        <v>9-9-17-4</v>
      </c>
      <c r="D226" s="67">
        <v>42877</v>
      </c>
      <c r="E226" s="67">
        <v>43555</v>
      </c>
      <c r="F226" s="5">
        <v>5097791.2</v>
      </c>
      <c r="G226" s="5">
        <v>6372239</v>
      </c>
      <c r="H226" s="67">
        <v>43100</v>
      </c>
      <c r="I226" s="55">
        <v>2300613.2000000002</v>
      </c>
      <c r="J226" s="1"/>
    </row>
    <row r="227" spans="1:10" x14ac:dyDescent="0.25">
      <c r="A227" s="1">
        <v>76</v>
      </c>
      <c r="B227" s="74" t="s">
        <v>604</v>
      </c>
      <c r="C227" s="7" t="str">
        <f>"17-SU-505/17"</f>
        <v>17-SU-505/17</v>
      </c>
      <c r="D227" s="67">
        <v>42870</v>
      </c>
      <c r="E227" s="67">
        <v>43220</v>
      </c>
      <c r="F227" s="5">
        <v>7559.91</v>
      </c>
      <c r="G227" s="5">
        <v>9449.89</v>
      </c>
      <c r="H227" s="67">
        <v>43100</v>
      </c>
      <c r="I227" s="55">
        <v>5388.9</v>
      </c>
      <c r="J227" s="1"/>
    </row>
    <row r="228" spans="1:10" ht="24" x14ac:dyDescent="0.25">
      <c r="A228" s="1">
        <v>77</v>
      </c>
      <c r="B228" s="74" t="s">
        <v>605</v>
      </c>
      <c r="C228" s="7" t="str">
        <f>"INA-UG-00428/17"</f>
        <v>INA-UG-00428/17</v>
      </c>
      <c r="D228" s="67">
        <v>42878</v>
      </c>
      <c r="E228" s="67">
        <v>43555</v>
      </c>
      <c r="F228" s="5">
        <v>80296</v>
      </c>
      <c r="G228" s="5">
        <v>100370</v>
      </c>
      <c r="H228" s="67">
        <v>43100</v>
      </c>
      <c r="I228" s="55">
        <v>40498.662499999999</v>
      </c>
      <c r="J228" s="1"/>
    </row>
    <row r="229" spans="1:10" ht="24" x14ac:dyDescent="0.25">
      <c r="A229" s="1">
        <v>78</v>
      </c>
      <c r="B229" s="74" t="s">
        <v>606</v>
      </c>
      <c r="C229" s="7" t="str">
        <f>"GORIVO 2 I 4 GRUPA"</f>
        <v>GORIVO 2 I 4 GRUPA</v>
      </c>
      <c r="D229" s="67">
        <v>42832</v>
      </c>
      <c r="E229" s="67">
        <v>43585</v>
      </c>
      <c r="F229" s="5">
        <v>6400</v>
      </c>
      <c r="G229" s="5">
        <v>8000</v>
      </c>
      <c r="H229" s="67">
        <v>43100</v>
      </c>
      <c r="I229" s="55">
        <v>3738.7</v>
      </c>
      <c r="J229" s="1"/>
    </row>
    <row r="230" spans="1:10" ht="24" x14ac:dyDescent="0.25">
      <c r="A230" s="1">
        <v>79</v>
      </c>
      <c r="B230" s="74" t="s">
        <v>493</v>
      </c>
      <c r="C230" s="7" t="str">
        <f>"INA-UG-00361/17"</f>
        <v>INA-UG-00361/17</v>
      </c>
      <c r="D230" s="67">
        <v>42892</v>
      </c>
      <c r="E230" s="67">
        <v>43555</v>
      </c>
      <c r="F230" s="5">
        <v>67000</v>
      </c>
      <c r="G230" s="5">
        <v>83750</v>
      </c>
      <c r="H230" s="67">
        <v>43100</v>
      </c>
      <c r="I230" s="55">
        <v>27522.3</v>
      </c>
      <c r="J230" s="1"/>
    </row>
    <row r="231" spans="1:10" ht="24" x14ac:dyDescent="0.25">
      <c r="A231" s="1">
        <v>80</v>
      </c>
      <c r="B231" s="74" t="s">
        <v>607</v>
      </c>
      <c r="C231" s="7" t="str">
        <f>"INA-UG-00413/17"</f>
        <v>INA-UG-00413/17</v>
      </c>
      <c r="D231" s="67">
        <v>42856</v>
      </c>
      <c r="E231" s="67">
        <v>43221</v>
      </c>
      <c r="F231" s="5">
        <v>7996.4</v>
      </c>
      <c r="G231" s="5">
        <v>9995.5</v>
      </c>
      <c r="H231" s="67">
        <v>43100</v>
      </c>
      <c r="I231" s="55">
        <v>7680.7875000000004</v>
      </c>
      <c r="J231" s="1"/>
    </row>
    <row r="232" spans="1:10" ht="24" x14ac:dyDescent="0.25">
      <c r="A232" s="1">
        <v>81</v>
      </c>
      <c r="B232" s="74" t="s">
        <v>608</v>
      </c>
      <c r="C232" s="7" t="str">
        <f>"INA-UG-00427/17"</f>
        <v>INA-UG-00427/17</v>
      </c>
      <c r="D232" s="67">
        <v>42860</v>
      </c>
      <c r="E232" s="67">
        <v>43221</v>
      </c>
      <c r="F232" s="5">
        <v>73675.5</v>
      </c>
      <c r="G232" s="5">
        <v>92094.38</v>
      </c>
      <c r="H232" s="67">
        <v>43100</v>
      </c>
      <c r="I232" s="55">
        <v>63489.887500000004</v>
      </c>
      <c r="J232" s="1"/>
    </row>
    <row r="233" spans="1:10" ht="24" x14ac:dyDescent="0.25">
      <c r="A233" s="1">
        <v>82</v>
      </c>
      <c r="B233" s="74" t="s">
        <v>204</v>
      </c>
      <c r="C233" s="7" t="str">
        <f>"8/2016-I-17/17-3"</f>
        <v>8/2016-I-17/17-3</v>
      </c>
      <c r="D233" s="67">
        <v>42852</v>
      </c>
      <c r="E233" s="67">
        <v>43555</v>
      </c>
      <c r="F233" s="5">
        <v>61474.2</v>
      </c>
      <c r="G233" s="5">
        <v>76842.75</v>
      </c>
      <c r="H233" s="67">
        <v>43100</v>
      </c>
      <c r="I233" s="55">
        <v>16458.05</v>
      </c>
      <c r="J233" s="1"/>
    </row>
    <row r="234" spans="1:10" x14ac:dyDescent="0.25">
      <c r="A234" s="1">
        <v>83</v>
      </c>
      <c r="B234" s="74" t="s">
        <v>609</v>
      </c>
      <c r="C234" s="7" t="str">
        <f>"41-SU-341/17"</f>
        <v>41-SU-341/17</v>
      </c>
      <c r="D234" s="67">
        <v>42878</v>
      </c>
      <c r="E234" s="67">
        <v>43555</v>
      </c>
      <c r="F234" s="5">
        <v>25067.200000000001</v>
      </c>
      <c r="G234" s="5">
        <v>31334</v>
      </c>
      <c r="H234" s="67">
        <v>43100</v>
      </c>
      <c r="I234" s="55">
        <v>1748.7625</v>
      </c>
      <c r="J234" s="1"/>
    </row>
    <row r="235" spans="1:10" ht="24" x14ac:dyDescent="0.25">
      <c r="A235" s="1">
        <v>84</v>
      </c>
      <c r="B235" s="74" t="s">
        <v>610</v>
      </c>
      <c r="C235" s="7" t="str">
        <f>"INA-UG-00397/17"</f>
        <v>INA-UG-00397/17</v>
      </c>
      <c r="D235" s="67">
        <v>42856</v>
      </c>
      <c r="E235" s="67">
        <v>43586</v>
      </c>
      <c r="F235" s="5">
        <v>10242.799999999999</v>
      </c>
      <c r="G235" s="5">
        <v>12803.5</v>
      </c>
      <c r="H235" s="67">
        <v>43100</v>
      </c>
      <c r="I235" s="55">
        <v>5195.2999999999993</v>
      </c>
      <c r="J235" s="1"/>
    </row>
    <row r="236" spans="1:10" ht="24" x14ac:dyDescent="0.25">
      <c r="A236" s="1">
        <v>85</v>
      </c>
      <c r="B236" s="74" t="s">
        <v>611</v>
      </c>
      <c r="C236" s="7" t="str">
        <f>"INA-UG-00379/17"</f>
        <v>INA-UG-00379/17</v>
      </c>
      <c r="D236" s="67">
        <v>42900</v>
      </c>
      <c r="E236" s="67">
        <v>43585</v>
      </c>
      <c r="F236" s="5">
        <v>27101.25</v>
      </c>
      <c r="G236" s="5">
        <v>33876.559999999998</v>
      </c>
      <c r="H236" s="67">
        <v>43100</v>
      </c>
      <c r="I236" s="55">
        <v>17752.850000000002</v>
      </c>
      <c r="J236" s="1"/>
    </row>
    <row r="237" spans="1:10" ht="24" x14ac:dyDescent="0.25">
      <c r="A237" s="1">
        <v>86</v>
      </c>
      <c r="B237" s="74" t="s">
        <v>612</v>
      </c>
      <c r="C237" s="7" t="str">
        <f>"INA-UG-00409/17"</f>
        <v>INA-UG-00409/17</v>
      </c>
      <c r="D237" s="67">
        <v>42906</v>
      </c>
      <c r="E237" s="67">
        <v>43586</v>
      </c>
      <c r="F237" s="5">
        <v>46062</v>
      </c>
      <c r="G237" s="5">
        <v>57577.5</v>
      </c>
      <c r="H237" s="67">
        <v>43100</v>
      </c>
      <c r="I237" s="55">
        <v>28467.137499999997</v>
      </c>
      <c r="J237" s="1"/>
    </row>
    <row r="238" spans="1:10" ht="24" x14ac:dyDescent="0.25">
      <c r="A238" s="1">
        <v>87</v>
      </c>
      <c r="B238" s="74" t="s">
        <v>613</v>
      </c>
      <c r="C238" s="7" t="str">
        <f>"INA-UG-00264/17"</f>
        <v>INA-UG-00264/17</v>
      </c>
      <c r="D238" s="67">
        <v>42907</v>
      </c>
      <c r="E238" s="67">
        <v>43555</v>
      </c>
      <c r="F238" s="5">
        <v>236154</v>
      </c>
      <c r="G238" s="5">
        <v>295192.5</v>
      </c>
      <c r="H238" s="67">
        <v>43100</v>
      </c>
      <c r="I238" s="55">
        <v>43571.375</v>
      </c>
      <c r="J238" s="1"/>
    </row>
    <row r="239" spans="1:10" ht="24" x14ac:dyDescent="0.25">
      <c r="A239" s="1">
        <v>88</v>
      </c>
      <c r="B239" s="74" t="s">
        <v>614</v>
      </c>
      <c r="C239" s="7" t="str">
        <f>"INA-UG-00419/17"</f>
        <v>INA-UG-00419/17</v>
      </c>
      <c r="D239" s="67">
        <v>42825</v>
      </c>
      <c r="E239" s="67">
        <v>43555</v>
      </c>
      <c r="F239" s="5">
        <v>16077.4</v>
      </c>
      <c r="G239" s="5">
        <v>20096.75</v>
      </c>
      <c r="H239" s="67">
        <v>43100</v>
      </c>
      <c r="I239" s="55">
        <v>6614.9</v>
      </c>
      <c r="J239" s="1"/>
    </row>
    <row r="240" spans="1:10" ht="24" x14ac:dyDescent="0.25">
      <c r="A240" s="1">
        <v>89</v>
      </c>
      <c r="B240" s="74" t="s">
        <v>615</v>
      </c>
      <c r="C240" s="7" t="str">
        <f>"INA-UG-00420/17"</f>
        <v>INA-UG-00420/17</v>
      </c>
      <c r="D240" s="67">
        <v>42825</v>
      </c>
      <c r="E240" s="67">
        <v>43555</v>
      </c>
      <c r="F240" s="5">
        <v>35080</v>
      </c>
      <c r="G240" s="5">
        <v>43850</v>
      </c>
      <c r="H240" s="67">
        <v>43100</v>
      </c>
      <c r="I240" s="55">
        <v>19019</v>
      </c>
      <c r="J240" s="1"/>
    </row>
    <row r="241" spans="1:10" ht="24" x14ac:dyDescent="0.25">
      <c r="A241" s="1">
        <v>90</v>
      </c>
      <c r="B241" s="74" t="s">
        <v>616</v>
      </c>
      <c r="C241" s="7" t="str">
        <f>"INA-UG_00369/17"</f>
        <v>INA-UG_00369/17</v>
      </c>
      <c r="D241" s="67">
        <v>42881</v>
      </c>
      <c r="E241" s="67">
        <v>43555</v>
      </c>
      <c r="F241" s="5">
        <v>44000</v>
      </c>
      <c r="G241" s="5">
        <v>55000</v>
      </c>
      <c r="H241" s="67">
        <v>43100</v>
      </c>
      <c r="I241" s="55">
        <v>7235.5875000000005</v>
      </c>
      <c r="J241" s="1"/>
    </row>
    <row r="242" spans="1:10" ht="24" x14ac:dyDescent="0.25">
      <c r="A242" s="1">
        <v>91</v>
      </c>
      <c r="B242" s="74" t="s">
        <v>617</v>
      </c>
      <c r="C242" s="7" t="str">
        <f>"INA-UG-00368/17"</f>
        <v>INA-UG-00368/17</v>
      </c>
      <c r="D242" s="67">
        <v>42884</v>
      </c>
      <c r="E242" s="67">
        <v>43555</v>
      </c>
      <c r="F242" s="5">
        <v>32000</v>
      </c>
      <c r="G242" s="5">
        <v>40000</v>
      </c>
      <c r="H242" s="67">
        <v>43100</v>
      </c>
      <c r="I242" s="55">
        <v>7715.2874999999995</v>
      </c>
      <c r="J242" s="1"/>
    </row>
    <row r="243" spans="1:10" ht="24" x14ac:dyDescent="0.25">
      <c r="A243" s="1">
        <v>92</v>
      </c>
      <c r="B243" s="74" t="s">
        <v>618</v>
      </c>
      <c r="C243" s="7" t="str">
        <f>"INA-UG-00367/17"</f>
        <v>INA-UG-00367/17</v>
      </c>
      <c r="D243" s="67">
        <v>42881</v>
      </c>
      <c r="E243" s="67">
        <v>43555</v>
      </c>
      <c r="F243" s="5">
        <v>8000</v>
      </c>
      <c r="G243" s="5">
        <v>10000</v>
      </c>
      <c r="H243" s="67">
        <v>43100</v>
      </c>
      <c r="I243" s="55">
        <v>3684.7125000000001</v>
      </c>
      <c r="J243" s="1"/>
    </row>
    <row r="244" spans="1:10" x14ac:dyDescent="0.25">
      <c r="A244" s="1">
        <v>93</v>
      </c>
      <c r="B244" s="74" t="s">
        <v>619</v>
      </c>
      <c r="C244" s="7" t="str">
        <f>"557/177"</f>
        <v>557/177</v>
      </c>
      <c r="D244" s="67">
        <v>42856</v>
      </c>
      <c r="E244" s="67">
        <v>43555</v>
      </c>
      <c r="F244" s="5">
        <v>61182</v>
      </c>
      <c r="G244" s="5">
        <v>76477.5</v>
      </c>
      <c r="H244" s="67">
        <v>43100</v>
      </c>
      <c r="I244" s="55">
        <v>37079.550000000003</v>
      </c>
      <c r="J244" s="1"/>
    </row>
    <row r="245" spans="1:10" ht="24" x14ac:dyDescent="0.25">
      <c r="A245" s="1">
        <v>94</v>
      </c>
      <c r="B245" s="74" t="s">
        <v>483</v>
      </c>
      <c r="C245" s="7" t="str">
        <f>"INA-UG-00398/17"</f>
        <v>INA-UG-00398/17</v>
      </c>
      <c r="D245" s="67">
        <v>42920</v>
      </c>
      <c r="E245" s="67">
        <v>43555</v>
      </c>
      <c r="F245" s="5">
        <v>0</v>
      </c>
      <c r="G245" s="5">
        <v>0</v>
      </c>
      <c r="H245" s="67">
        <v>43100</v>
      </c>
      <c r="I245" s="55">
        <v>10676.324999999999</v>
      </c>
      <c r="J245" s="1"/>
    </row>
    <row r="246" spans="1:10" ht="24" x14ac:dyDescent="0.25">
      <c r="A246" s="1">
        <v>95</v>
      </c>
      <c r="B246" s="74" t="s">
        <v>620</v>
      </c>
      <c r="C246" s="7" t="str">
        <f>"333-01/17-01/01"</f>
        <v>333-01/17-01/01</v>
      </c>
      <c r="D246" s="67">
        <v>42856</v>
      </c>
      <c r="E246" s="67">
        <v>43555</v>
      </c>
      <c r="F246" s="5">
        <v>19200</v>
      </c>
      <c r="G246" s="5">
        <v>24000</v>
      </c>
      <c r="H246" s="67">
        <v>43100</v>
      </c>
      <c r="I246" s="55">
        <v>2199.4874999999997</v>
      </c>
      <c r="J246" s="1"/>
    </row>
    <row r="247" spans="1:10" x14ac:dyDescent="0.25">
      <c r="A247" s="1">
        <v>96</v>
      </c>
      <c r="B247" s="74" t="s">
        <v>621</v>
      </c>
      <c r="C247" s="7" t="str">
        <f>"41 SU-102/17"</f>
        <v>41 SU-102/17</v>
      </c>
      <c r="D247" s="67">
        <v>42887</v>
      </c>
      <c r="E247" s="67">
        <v>43555</v>
      </c>
      <c r="F247" s="5">
        <v>15442</v>
      </c>
      <c r="G247" s="5">
        <v>19302.5</v>
      </c>
      <c r="H247" s="67">
        <v>43100</v>
      </c>
      <c r="I247" s="55">
        <v>4870.45</v>
      </c>
      <c r="J247" s="1"/>
    </row>
    <row r="248" spans="1:10" ht="24" x14ac:dyDescent="0.25">
      <c r="A248" s="1">
        <v>97</v>
      </c>
      <c r="B248" s="74" t="s">
        <v>622</v>
      </c>
      <c r="C248" s="7" t="str">
        <f>"360/17"</f>
        <v>360/17</v>
      </c>
      <c r="D248" s="67">
        <v>42825</v>
      </c>
      <c r="E248" s="67">
        <v>43585</v>
      </c>
      <c r="F248" s="5">
        <v>53040</v>
      </c>
      <c r="G248" s="5">
        <v>66300</v>
      </c>
      <c r="H248" s="67">
        <v>43100</v>
      </c>
      <c r="I248" s="55">
        <v>27431.1875</v>
      </c>
      <c r="J248" s="1"/>
    </row>
    <row r="249" spans="1:10" ht="36" x14ac:dyDescent="0.25">
      <c r="A249" s="1">
        <v>98</v>
      </c>
      <c r="B249" s="74" t="s">
        <v>185</v>
      </c>
      <c r="C249" s="7" t="str">
        <f>"8/2016 UGOVOR GRUPE 2,3 I 4"</f>
        <v>8/2016 UGOVOR GRUPE 2,3 I 4</v>
      </c>
      <c r="D249" s="67">
        <v>42852</v>
      </c>
      <c r="E249" s="67">
        <v>43586</v>
      </c>
      <c r="F249" s="5">
        <v>1222020</v>
      </c>
      <c r="G249" s="5">
        <v>1527525</v>
      </c>
      <c r="H249" s="67">
        <v>43100</v>
      </c>
      <c r="I249" s="55">
        <v>336472.65</v>
      </c>
      <c r="J249" s="1"/>
    </row>
    <row r="250" spans="1:10" ht="24" x14ac:dyDescent="0.25">
      <c r="A250" s="1">
        <v>99</v>
      </c>
      <c r="B250" s="74" t="s">
        <v>209</v>
      </c>
      <c r="C250" s="7" t="str">
        <f>"920-07/17-13/22"</f>
        <v>920-07/17-13/22</v>
      </c>
      <c r="D250" s="67">
        <v>42926</v>
      </c>
      <c r="E250" s="67">
        <v>43221</v>
      </c>
      <c r="F250" s="5">
        <v>748303.7</v>
      </c>
      <c r="G250" s="5">
        <v>935379.63</v>
      </c>
      <c r="H250" s="67">
        <v>43100</v>
      </c>
      <c r="I250" s="55">
        <v>902507.2</v>
      </c>
      <c r="J250" s="1"/>
    </row>
    <row r="251" spans="1:10" ht="24" x14ac:dyDescent="0.25">
      <c r="A251" s="1">
        <v>100</v>
      </c>
      <c r="B251" s="74" t="s">
        <v>623</v>
      </c>
      <c r="C251" s="7" t="str">
        <f>"284-200-700/17"</f>
        <v>284-200-700/17</v>
      </c>
      <c r="D251" s="67">
        <v>42887</v>
      </c>
      <c r="E251" s="67">
        <v>43555</v>
      </c>
      <c r="F251" s="5">
        <v>626400</v>
      </c>
      <c r="G251" s="5">
        <v>783000</v>
      </c>
      <c r="H251" s="67">
        <v>43008</v>
      </c>
      <c r="I251" s="55">
        <v>54279.799999999996</v>
      </c>
      <c r="J251" s="1"/>
    </row>
    <row r="252" spans="1:10" ht="24" x14ac:dyDescent="0.25">
      <c r="A252" s="1">
        <v>101</v>
      </c>
      <c r="B252" s="74" t="s">
        <v>211</v>
      </c>
      <c r="C252" s="7" t="str">
        <f>"8/2016-2/4"</f>
        <v>8/2016-2/4</v>
      </c>
      <c r="D252" s="67">
        <v>42900</v>
      </c>
      <c r="E252" s="67">
        <v>43555</v>
      </c>
      <c r="F252" s="5">
        <v>45883.1</v>
      </c>
      <c r="G252" s="5">
        <v>57353.88</v>
      </c>
      <c r="H252" s="67">
        <v>43100</v>
      </c>
      <c r="I252" s="55">
        <v>15393.137500000001</v>
      </c>
      <c r="J252" s="1"/>
    </row>
    <row r="253" spans="1:10" x14ac:dyDescent="0.25">
      <c r="A253" s="1">
        <v>102</v>
      </c>
      <c r="B253" s="74" t="s">
        <v>624</v>
      </c>
      <c r="C253" s="7" t="str">
        <f>"31/6"</f>
        <v>31/6</v>
      </c>
      <c r="D253" s="67">
        <v>42856</v>
      </c>
      <c r="E253" s="67">
        <v>43220</v>
      </c>
      <c r="F253" s="5">
        <v>5353.65</v>
      </c>
      <c r="G253" s="5">
        <v>6692.07</v>
      </c>
      <c r="H253" s="67">
        <v>43100</v>
      </c>
      <c r="I253" s="55">
        <v>2176.8125</v>
      </c>
      <c r="J253" s="1"/>
    </row>
    <row r="254" spans="1:10" ht="24" x14ac:dyDescent="0.25">
      <c r="A254" s="1">
        <v>103</v>
      </c>
      <c r="B254" s="74" t="s">
        <v>625</v>
      </c>
      <c r="C254" s="7" t="str">
        <f>"INA-UG-00351/17"</f>
        <v>INA-UG-00351/17</v>
      </c>
      <c r="D254" s="67">
        <v>42881</v>
      </c>
      <c r="E254" s="67">
        <v>43585</v>
      </c>
      <c r="F254" s="5">
        <v>42434</v>
      </c>
      <c r="G254" s="5">
        <v>53042.5</v>
      </c>
      <c r="H254" s="67">
        <v>43100</v>
      </c>
      <c r="I254" s="55">
        <v>16980.875</v>
      </c>
      <c r="J254" s="1"/>
    </row>
    <row r="255" spans="1:10" ht="24" x14ac:dyDescent="0.25">
      <c r="A255" s="1">
        <v>104</v>
      </c>
      <c r="B255" s="74" t="s">
        <v>626</v>
      </c>
      <c r="C255" s="7" t="str">
        <f>"INA-UG-00352/17"</f>
        <v>INA-UG-00352/17</v>
      </c>
      <c r="D255" s="67">
        <v>42886</v>
      </c>
      <c r="E255" s="67">
        <v>42855</v>
      </c>
      <c r="F255" s="5">
        <v>28286</v>
      </c>
      <c r="G255" s="5">
        <v>35357.5</v>
      </c>
      <c r="H255" s="67">
        <v>43100</v>
      </c>
      <c r="I255" s="55">
        <v>7780.9875000000002</v>
      </c>
      <c r="J255" s="1"/>
    </row>
    <row r="256" spans="1:10" ht="36" x14ac:dyDescent="0.25">
      <c r="A256" s="1">
        <v>105</v>
      </c>
      <c r="B256" s="74" t="s">
        <v>192</v>
      </c>
      <c r="C256" s="7" t="str">
        <f>"510/2-A-A-0023/17-90"</f>
        <v>510/2-A-A-0023/17-90</v>
      </c>
      <c r="D256" s="67">
        <v>42855</v>
      </c>
      <c r="E256" s="67">
        <v>43221</v>
      </c>
      <c r="F256" s="5">
        <v>172820.3</v>
      </c>
      <c r="G256" s="5">
        <v>216025.38</v>
      </c>
      <c r="H256" s="67">
        <v>43100</v>
      </c>
      <c r="I256" s="55">
        <v>150350.27499999999</v>
      </c>
      <c r="J256" s="1"/>
    </row>
    <row r="257" spans="1:10" ht="24" x14ac:dyDescent="0.25">
      <c r="A257" s="1">
        <v>106</v>
      </c>
      <c r="B257" s="74" t="s">
        <v>627</v>
      </c>
      <c r="C257" s="7" t="str">
        <f>"INA-UG-00415/17"</f>
        <v>INA-UG-00415/17</v>
      </c>
      <c r="D257" s="67">
        <v>42900</v>
      </c>
      <c r="E257" s="67">
        <v>43555</v>
      </c>
      <c r="F257" s="5">
        <v>6384</v>
      </c>
      <c r="G257" s="5">
        <v>7980</v>
      </c>
      <c r="H257" s="67">
        <v>43100</v>
      </c>
      <c r="I257" s="55">
        <v>4662.9375</v>
      </c>
      <c r="J257" s="1"/>
    </row>
    <row r="258" spans="1:10" ht="24" x14ac:dyDescent="0.25">
      <c r="A258" s="1">
        <v>107</v>
      </c>
      <c r="B258" s="74" t="s">
        <v>628</v>
      </c>
      <c r="C258" s="7" t="str">
        <f>"INA-UG-00219/17"</f>
        <v>INA-UG-00219/17</v>
      </c>
      <c r="D258" s="67">
        <v>42836</v>
      </c>
      <c r="E258" s="67">
        <v>43190</v>
      </c>
      <c r="F258" s="5">
        <v>75000</v>
      </c>
      <c r="G258" s="5">
        <v>93750</v>
      </c>
      <c r="H258" s="67">
        <v>43100</v>
      </c>
      <c r="I258" s="55">
        <v>50096.662500000006</v>
      </c>
      <c r="J258" s="1"/>
    </row>
    <row r="259" spans="1:10" ht="24" x14ac:dyDescent="0.25">
      <c r="A259" s="1">
        <v>108</v>
      </c>
      <c r="B259" s="74" t="s">
        <v>629</v>
      </c>
      <c r="C259" s="7" t="str">
        <f>"INA-UG-00422/17"</f>
        <v>INA-UG-00422/17</v>
      </c>
      <c r="D259" s="67">
        <v>42856</v>
      </c>
      <c r="E259" s="67">
        <v>43586</v>
      </c>
      <c r="F259" s="5">
        <v>14029.2</v>
      </c>
      <c r="G259" s="5">
        <v>17536.5</v>
      </c>
      <c r="H259" s="67">
        <v>43100</v>
      </c>
      <c r="I259" s="55">
        <v>6024.6500000000005</v>
      </c>
      <c r="J259" s="1"/>
    </row>
    <row r="260" spans="1:10" ht="24" x14ac:dyDescent="0.25">
      <c r="A260" s="1">
        <v>109</v>
      </c>
      <c r="B260" s="74" t="s">
        <v>630</v>
      </c>
      <c r="C260" s="7" t="str">
        <f>"INA-UG-00421/17"</f>
        <v>INA-UG-00421/17</v>
      </c>
      <c r="D260" s="67">
        <v>42856</v>
      </c>
      <c r="E260" s="67">
        <v>43586</v>
      </c>
      <c r="F260" s="5">
        <v>12976.2</v>
      </c>
      <c r="G260" s="5">
        <v>16220.25</v>
      </c>
      <c r="H260" s="67">
        <v>43100</v>
      </c>
      <c r="I260" s="55">
        <v>6791.25</v>
      </c>
      <c r="J260" s="1"/>
    </row>
    <row r="261" spans="1:10" ht="36" x14ac:dyDescent="0.25">
      <c r="A261" s="1">
        <v>110</v>
      </c>
      <c r="B261" s="74" t="s">
        <v>631</v>
      </c>
      <c r="C261" s="7" t="str">
        <f>"535"</f>
        <v>535</v>
      </c>
      <c r="D261" s="67">
        <v>42825</v>
      </c>
      <c r="E261" s="67">
        <v>43585</v>
      </c>
      <c r="F261" s="5">
        <v>25106</v>
      </c>
      <c r="G261" s="5">
        <v>31382.5</v>
      </c>
      <c r="H261" s="67">
        <v>43100</v>
      </c>
      <c r="I261" s="55">
        <v>7695.7749999999996</v>
      </c>
      <c r="J261" s="1"/>
    </row>
    <row r="262" spans="1:10" x14ac:dyDescent="0.25">
      <c r="A262" s="1">
        <v>111</v>
      </c>
      <c r="B262" s="74" t="s">
        <v>632</v>
      </c>
      <c r="C262" s="7" t="str">
        <f>"63/2/17"</f>
        <v>63/2/17</v>
      </c>
      <c r="D262" s="67">
        <v>42898</v>
      </c>
      <c r="E262" s="67">
        <v>43220</v>
      </c>
      <c r="F262" s="5">
        <v>151994.54999999999</v>
      </c>
      <c r="G262" s="5">
        <v>189993.19</v>
      </c>
      <c r="H262" s="67">
        <v>43100</v>
      </c>
      <c r="I262" s="55">
        <v>82375.025000000009</v>
      </c>
      <c r="J262" s="1"/>
    </row>
    <row r="263" spans="1:10" ht="24" x14ac:dyDescent="0.25">
      <c r="A263" s="1">
        <v>112</v>
      </c>
      <c r="B263" s="74" t="s">
        <v>17</v>
      </c>
      <c r="C263" s="7" t="str">
        <f>"6-SUSJN/17 - GRUPA 2"</f>
        <v>6-SUSJN/17 - GRUPA 2</v>
      </c>
      <c r="D263" s="67">
        <v>42856</v>
      </c>
      <c r="E263" s="67">
        <v>43220</v>
      </c>
      <c r="F263" s="5">
        <v>296988</v>
      </c>
      <c r="G263" s="5">
        <v>371235</v>
      </c>
      <c r="H263" s="67">
        <v>43100</v>
      </c>
      <c r="I263" s="55">
        <v>208513.8125</v>
      </c>
      <c r="J263" s="1"/>
    </row>
    <row r="264" spans="1:10" ht="24" x14ac:dyDescent="0.25">
      <c r="A264" s="1">
        <v>113</v>
      </c>
      <c r="B264" s="74" t="s">
        <v>17</v>
      </c>
      <c r="C264" s="7" t="str">
        <f>"6-SUSJN/17 - GRUPA 3"</f>
        <v>6-SUSJN/17 - GRUPA 3</v>
      </c>
      <c r="D264" s="67">
        <v>42856</v>
      </c>
      <c r="E264" s="67">
        <v>43220</v>
      </c>
      <c r="F264" s="5">
        <v>20000</v>
      </c>
      <c r="G264" s="5">
        <v>25000</v>
      </c>
      <c r="H264" s="67">
        <v>43100</v>
      </c>
      <c r="I264" s="55">
        <v>19513.25</v>
      </c>
      <c r="J264" s="1"/>
    </row>
    <row r="265" spans="1:10" ht="24" x14ac:dyDescent="0.25">
      <c r="A265" s="1">
        <v>114</v>
      </c>
      <c r="B265" s="74" t="s">
        <v>17</v>
      </c>
      <c r="C265" s="7" t="str">
        <f>"6-SUSJN/17 - GRUPA 4"</f>
        <v>6-SUSJN/17 - GRUPA 4</v>
      </c>
      <c r="D265" s="67">
        <v>42856</v>
      </c>
      <c r="E265" s="67">
        <v>43220</v>
      </c>
      <c r="F265" s="5">
        <v>25235</v>
      </c>
      <c r="G265" s="5">
        <v>31543.75</v>
      </c>
      <c r="H265" s="67">
        <v>43100</v>
      </c>
      <c r="I265" s="55">
        <v>69770.75</v>
      </c>
      <c r="J265" s="1"/>
    </row>
    <row r="266" spans="1:10" ht="24" x14ac:dyDescent="0.25">
      <c r="A266" s="1">
        <v>115</v>
      </c>
      <c r="B266" s="74" t="s">
        <v>633</v>
      </c>
      <c r="C266" s="7" t="str">
        <f>"INA-UG-00417/17"</f>
        <v>INA-UG-00417/17</v>
      </c>
      <c r="D266" s="67">
        <v>42856</v>
      </c>
      <c r="E266" s="67">
        <v>43100</v>
      </c>
      <c r="F266" s="5">
        <v>1980</v>
      </c>
      <c r="G266" s="5">
        <v>2475</v>
      </c>
      <c r="H266" s="67">
        <v>43100</v>
      </c>
      <c r="I266" s="55">
        <v>1972.5125</v>
      </c>
      <c r="J266" s="1"/>
    </row>
    <row r="267" spans="1:10" ht="36" x14ac:dyDescent="0.25">
      <c r="A267" s="1">
        <v>116</v>
      </c>
      <c r="B267" s="74" t="s">
        <v>634</v>
      </c>
      <c r="C267" s="7" t="str">
        <f>"INA-UG-00414/17"</f>
        <v>INA-UG-00414/17</v>
      </c>
      <c r="D267" s="67">
        <v>42872</v>
      </c>
      <c r="E267" s="67">
        <v>43100</v>
      </c>
      <c r="F267" s="5">
        <v>50000</v>
      </c>
      <c r="G267" s="5">
        <v>62500</v>
      </c>
      <c r="H267" s="67">
        <v>43100</v>
      </c>
      <c r="I267" s="55">
        <v>82028.75</v>
      </c>
      <c r="J267" s="1"/>
    </row>
    <row r="268" spans="1:10" ht="36" x14ac:dyDescent="0.25">
      <c r="A268" s="1">
        <v>117</v>
      </c>
      <c r="B268" s="74" t="s">
        <v>635</v>
      </c>
      <c r="C268" s="7" t="str">
        <f>"INA-UG-00395/17"</f>
        <v>INA-UG-00395/17</v>
      </c>
      <c r="D268" s="67">
        <v>42856</v>
      </c>
      <c r="E268" s="67">
        <v>43555</v>
      </c>
      <c r="F268" s="5">
        <v>34708</v>
      </c>
      <c r="G268" s="5">
        <v>43385</v>
      </c>
      <c r="H268" s="67">
        <v>43100</v>
      </c>
      <c r="I268" s="55">
        <v>9626.6749999999993</v>
      </c>
      <c r="J268" s="1"/>
    </row>
    <row r="269" spans="1:10" ht="36" x14ac:dyDescent="0.25">
      <c r="A269" s="1">
        <v>118</v>
      </c>
      <c r="B269" s="74" t="s">
        <v>636</v>
      </c>
      <c r="C269" s="7" t="str">
        <f>"406-09/17-01/2"</f>
        <v>406-09/17-01/2</v>
      </c>
      <c r="D269" s="67">
        <v>42891</v>
      </c>
      <c r="E269" s="67">
        <v>43100</v>
      </c>
      <c r="F269" s="5">
        <v>10082.9</v>
      </c>
      <c r="G269" s="5">
        <v>12603.63</v>
      </c>
      <c r="H269" s="67">
        <v>43100</v>
      </c>
      <c r="I269" s="55">
        <v>5070.8999999999996</v>
      </c>
      <c r="J269" s="1"/>
    </row>
    <row r="270" spans="1:10" ht="24" x14ac:dyDescent="0.25">
      <c r="A270" s="1">
        <v>119</v>
      </c>
      <c r="B270" s="74" t="s">
        <v>637</v>
      </c>
      <c r="C270" s="7" t="str">
        <f>"INA-UG-00431/17"</f>
        <v>INA-UG-00431/17</v>
      </c>
      <c r="D270" s="67">
        <v>42853</v>
      </c>
      <c r="E270" s="67">
        <v>43555</v>
      </c>
      <c r="F270" s="5">
        <v>33000</v>
      </c>
      <c r="G270" s="5">
        <v>41250</v>
      </c>
      <c r="H270" s="67">
        <v>43100</v>
      </c>
      <c r="I270" s="55">
        <v>11369.5625</v>
      </c>
      <c r="J270" s="1"/>
    </row>
    <row r="271" spans="1:10" x14ac:dyDescent="0.25">
      <c r="A271" s="1">
        <v>120</v>
      </c>
      <c r="B271" s="74" t="s">
        <v>278</v>
      </c>
      <c r="C271" s="7" t="str">
        <f>"88/2017"</f>
        <v>88/2017</v>
      </c>
      <c r="D271" s="67">
        <v>42857</v>
      </c>
      <c r="E271" s="67">
        <v>43555</v>
      </c>
      <c r="F271" s="5">
        <v>1421562.8799999999</v>
      </c>
      <c r="G271" s="5">
        <v>1776953.6</v>
      </c>
      <c r="H271" s="67">
        <v>43100</v>
      </c>
      <c r="I271" s="55">
        <v>464755.9375</v>
      </c>
      <c r="J271" s="1"/>
    </row>
    <row r="272" spans="1:10" ht="24" x14ac:dyDescent="0.25">
      <c r="A272" s="1">
        <v>121</v>
      </c>
      <c r="B272" s="74" t="s">
        <v>186</v>
      </c>
      <c r="C272" s="7" t="str">
        <f>"406-01/17-01/0056"</f>
        <v>406-01/17-01/0056</v>
      </c>
      <c r="D272" s="67">
        <v>42856</v>
      </c>
      <c r="E272" s="67">
        <v>43220</v>
      </c>
      <c r="F272" s="5">
        <v>624694</v>
      </c>
      <c r="G272" s="5">
        <v>780867.5</v>
      </c>
      <c r="H272" s="67">
        <v>43008</v>
      </c>
      <c r="I272" s="55">
        <v>312029.66250000003</v>
      </c>
      <c r="J272" s="1"/>
    </row>
    <row r="273" spans="1:10" ht="36" x14ac:dyDescent="0.25">
      <c r="A273" s="1">
        <v>122</v>
      </c>
      <c r="B273" s="74" t="s">
        <v>638</v>
      </c>
      <c r="C273" s="7" t="str">
        <f>"INA-UG-00374/17"</f>
        <v>INA-UG-00374/17</v>
      </c>
      <c r="D273" s="67">
        <v>42853</v>
      </c>
      <c r="E273" s="67">
        <v>43220</v>
      </c>
      <c r="F273" s="5">
        <v>465175</v>
      </c>
      <c r="G273" s="5">
        <v>581468.75</v>
      </c>
      <c r="H273" s="67">
        <v>43100</v>
      </c>
      <c r="I273" s="55">
        <v>408676</v>
      </c>
      <c r="J273" s="1"/>
    </row>
    <row r="274" spans="1:10" x14ac:dyDescent="0.25">
      <c r="A274" s="1">
        <v>123</v>
      </c>
      <c r="B274" s="74" t="s">
        <v>639</v>
      </c>
      <c r="C274" s="7" t="str">
        <f>"URZ-17-13"</f>
        <v>URZ-17-13</v>
      </c>
      <c r="D274" s="67">
        <v>42856</v>
      </c>
      <c r="E274" s="67">
        <v>43585</v>
      </c>
      <c r="F274" s="5">
        <v>267746</v>
      </c>
      <c r="G274" s="5">
        <v>334682.5</v>
      </c>
      <c r="H274" s="67">
        <v>43100</v>
      </c>
      <c r="I274" s="55">
        <v>27819.575000000001</v>
      </c>
      <c r="J274" s="1"/>
    </row>
    <row r="275" spans="1:10" ht="36" x14ac:dyDescent="0.25">
      <c r="A275" s="1">
        <v>124</v>
      </c>
      <c r="B275" s="74" t="s">
        <v>640</v>
      </c>
      <c r="C275" s="7" t="str">
        <f>"GORIVO ZA GRUPE 2., 3. I 4."</f>
        <v>GORIVO ZA GRUPE 2., 3. I 4.</v>
      </c>
      <c r="D275" s="67">
        <v>42849</v>
      </c>
      <c r="E275" s="67">
        <v>43586</v>
      </c>
      <c r="F275" s="5">
        <v>35075</v>
      </c>
      <c r="G275" s="5">
        <v>43843.75</v>
      </c>
      <c r="H275" s="67">
        <v>43100</v>
      </c>
      <c r="I275" s="55">
        <v>17826.099999999999</v>
      </c>
      <c r="J275" s="1"/>
    </row>
    <row r="276" spans="1:10" ht="24" x14ac:dyDescent="0.25">
      <c r="A276" s="1">
        <v>125</v>
      </c>
      <c r="B276" s="74" t="s">
        <v>641</v>
      </c>
      <c r="C276" s="7" t="str">
        <f>"DPR-406-01/17-0018"</f>
        <v>DPR-406-01/17-0018</v>
      </c>
      <c r="D276" s="67">
        <v>42873</v>
      </c>
      <c r="E276" s="67">
        <v>43220</v>
      </c>
      <c r="F276" s="5">
        <v>10799.77</v>
      </c>
      <c r="G276" s="5">
        <v>13499.71</v>
      </c>
      <c r="H276" s="67">
        <v>43100</v>
      </c>
      <c r="I276" s="55">
        <v>11124.674999999999</v>
      </c>
      <c r="J276" s="1"/>
    </row>
    <row r="277" spans="1:10" ht="36" x14ac:dyDescent="0.25">
      <c r="A277" s="1">
        <v>126</v>
      </c>
      <c r="B277" s="74" t="s">
        <v>517</v>
      </c>
      <c r="C277" s="7" t="str">
        <f>"UGOVOR O NABAVI GORIVA 2017"</f>
        <v>UGOVOR O NABAVI GORIVA 2017</v>
      </c>
      <c r="D277" s="67">
        <v>42856</v>
      </c>
      <c r="E277" s="67">
        <v>43586</v>
      </c>
      <c r="F277" s="5">
        <v>228116</v>
      </c>
      <c r="G277" s="5">
        <v>285145</v>
      </c>
      <c r="H277" s="67">
        <v>43100</v>
      </c>
      <c r="I277" s="55">
        <v>37131.862500000003</v>
      </c>
      <c r="J277" s="1"/>
    </row>
    <row r="278" spans="1:10" ht="24" x14ac:dyDescent="0.25">
      <c r="A278" s="1">
        <v>127</v>
      </c>
      <c r="B278" s="74" t="s">
        <v>642</v>
      </c>
      <c r="C278" s="7" t="str">
        <f>"INA-UG-00381/17"</f>
        <v>INA-UG-00381/17</v>
      </c>
      <c r="D278" s="67">
        <v>42856</v>
      </c>
      <c r="E278" s="67">
        <v>43555</v>
      </c>
      <c r="F278" s="5">
        <v>43864</v>
      </c>
      <c r="G278" s="5">
        <v>54830</v>
      </c>
      <c r="H278" s="67">
        <v>43100</v>
      </c>
      <c r="I278" s="55">
        <v>6162.6875</v>
      </c>
      <c r="J278" s="1"/>
    </row>
    <row r="279" spans="1:10" ht="24" x14ac:dyDescent="0.25">
      <c r="A279" s="1">
        <v>128</v>
      </c>
      <c r="B279" s="74" t="s">
        <v>479</v>
      </c>
      <c r="C279" s="7" t="str">
        <f>"41-SU-180/17-2"</f>
        <v>41-SU-180/17-2</v>
      </c>
      <c r="D279" s="67">
        <v>42856</v>
      </c>
      <c r="E279" s="67">
        <v>43221</v>
      </c>
      <c r="F279" s="5">
        <v>8950.5</v>
      </c>
      <c r="G279" s="5">
        <v>11188.13</v>
      </c>
      <c r="H279" s="67">
        <v>43100</v>
      </c>
      <c r="I279" s="55">
        <v>868</v>
      </c>
      <c r="J279" s="1"/>
    </row>
    <row r="280" spans="1:10" ht="24" x14ac:dyDescent="0.25">
      <c r="A280" s="1">
        <v>129</v>
      </c>
      <c r="B280" s="74" t="s">
        <v>643</v>
      </c>
      <c r="C280" s="7" t="str">
        <f>"INA-UG 00334/17"</f>
        <v>INA-UG 00334/17</v>
      </c>
      <c r="D280" s="67">
        <v>42843</v>
      </c>
      <c r="E280" s="67">
        <v>43555</v>
      </c>
      <c r="F280" s="5">
        <v>21560</v>
      </c>
      <c r="G280" s="5">
        <v>26950</v>
      </c>
      <c r="H280" s="67">
        <v>43100</v>
      </c>
      <c r="I280" s="55">
        <v>3736.9749999999999</v>
      </c>
      <c r="J280" s="1"/>
    </row>
    <row r="281" spans="1:10" ht="24" x14ac:dyDescent="0.25">
      <c r="A281" s="1">
        <v>130</v>
      </c>
      <c r="B281" s="74" t="s">
        <v>644</v>
      </c>
      <c r="C281" s="7" t="str">
        <f>"INA-UG-00382/17"</f>
        <v>INA-UG-00382/17</v>
      </c>
      <c r="D281" s="67">
        <v>42891</v>
      </c>
      <c r="E281" s="67">
        <v>43555</v>
      </c>
      <c r="F281" s="5">
        <v>46179</v>
      </c>
      <c r="G281" s="5">
        <v>57723.75</v>
      </c>
      <c r="H281" s="67">
        <v>43100</v>
      </c>
      <c r="I281" s="55">
        <v>13083.724999999999</v>
      </c>
      <c r="J281" s="1"/>
    </row>
    <row r="282" spans="1:10" ht="24" x14ac:dyDescent="0.25">
      <c r="A282" s="1">
        <v>131</v>
      </c>
      <c r="B282" s="74" t="s">
        <v>645</v>
      </c>
      <c r="C282" s="7" t="str">
        <f>"INA-UG-0039/17"</f>
        <v>INA-UG-0039/17</v>
      </c>
      <c r="D282" s="67">
        <v>42865</v>
      </c>
      <c r="E282" s="67">
        <v>43585</v>
      </c>
      <c r="F282" s="5">
        <v>20000</v>
      </c>
      <c r="G282" s="5">
        <v>25000</v>
      </c>
      <c r="H282" s="67">
        <v>43100</v>
      </c>
      <c r="I282" s="55">
        <v>4571.6750000000002</v>
      </c>
      <c r="J282" s="1"/>
    </row>
    <row r="283" spans="1:10" ht="24" x14ac:dyDescent="0.25">
      <c r="A283" s="1">
        <v>132</v>
      </c>
      <c r="B283" s="74" t="s">
        <v>196</v>
      </c>
      <c r="C283" s="7" t="str">
        <f>"MGPU 8/2016-I"</f>
        <v>MGPU 8/2016-I</v>
      </c>
      <c r="D283" s="67">
        <v>42852</v>
      </c>
      <c r="E283" s="67">
        <v>43221</v>
      </c>
      <c r="F283" s="5">
        <v>382051</v>
      </c>
      <c r="G283" s="5">
        <v>477563.75</v>
      </c>
      <c r="H283" s="67">
        <v>43100</v>
      </c>
      <c r="I283" s="55">
        <v>389430.625</v>
      </c>
      <c r="J283" s="1"/>
    </row>
    <row r="284" spans="1:10" ht="36" x14ac:dyDescent="0.25">
      <c r="A284" s="1">
        <v>133</v>
      </c>
      <c r="B284" s="74" t="s">
        <v>208</v>
      </c>
      <c r="C284" s="7" t="str">
        <f>"08/UZOP/2017"</f>
        <v>08/UZOP/2017</v>
      </c>
      <c r="D284" s="67">
        <v>42856</v>
      </c>
      <c r="E284" s="67">
        <v>43220</v>
      </c>
      <c r="F284" s="5">
        <v>0</v>
      </c>
      <c r="G284" s="5">
        <v>0</v>
      </c>
      <c r="H284" s="67">
        <v>43008</v>
      </c>
      <c r="I284" s="55">
        <v>195845.3</v>
      </c>
      <c r="J284" s="1"/>
    </row>
    <row r="285" spans="1:10" x14ac:dyDescent="0.25">
      <c r="A285" s="1">
        <v>134</v>
      </c>
      <c r="B285" s="74" t="s">
        <v>537</v>
      </c>
      <c r="C285" s="7" t="str">
        <f>"00384/17"</f>
        <v>00384/17</v>
      </c>
      <c r="D285" s="67">
        <v>42856</v>
      </c>
      <c r="E285" s="67">
        <v>43100</v>
      </c>
      <c r="F285" s="5">
        <v>777018</v>
      </c>
      <c r="G285" s="5">
        <v>971272.5</v>
      </c>
      <c r="H285" s="164"/>
      <c r="I285" s="168">
        <v>0</v>
      </c>
      <c r="J285" s="1"/>
    </row>
    <row r="286" spans="1:10" ht="24" x14ac:dyDescent="0.25">
      <c r="A286" s="1">
        <v>135</v>
      </c>
      <c r="B286" s="74" t="s">
        <v>190</v>
      </c>
      <c r="C286" s="7" t="str">
        <f>"1402/2017"</f>
        <v>1402/2017</v>
      </c>
      <c r="D286" s="67">
        <v>42892</v>
      </c>
      <c r="E286" s="67">
        <v>43555</v>
      </c>
      <c r="F286" s="5">
        <v>134531.4</v>
      </c>
      <c r="G286" s="5">
        <v>168164.25</v>
      </c>
      <c r="H286" s="67">
        <v>43100</v>
      </c>
      <c r="I286" s="55">
        <v>100619.40000000001</v>
      </c>
      <c r="J286" s="1"/>
    </row>
    <row r="287" spans="1:10" ht="24" x14ac:dyDescent="0.25">
      <c r="A287" s="1">
        <v>136</v>
      </c>
      <c r="B287" s="74" t="s">
        <v>646</v>
      </c>
      <c r="C287" s="7" t="str">
        <f>"KLASA: 602-04/17-20/14"</f>
        <v>KLASA: 602-04/17-20/14</v>
      </c>
      <c r="D287" s="67">
        <v>42850</v>
      </c>
      <c r="E287" s="67">
        <v>43555</v>
      </c>
      <c r="F287" s="5">
        <v>50000</v>
      </c>
      <c r="G287" s="5">
        <v>62500</v>
      </c>
      <c r="H287" s="67">
        <v>43100</v>
      </c>
      <c r="I287" s="55">
        <v>2274.3874999999998</v>
      </c>
      <c r="J287" s="1"/>
    </row>
    <row r="288" spans="1:10" ht="24" x14ac:dyDescent="0.25">
      <c r="A288" s="1">
        <v>137</v>
      </c>
      <c r="B288" s="74" t="s">
        <v>18</v>
      </c>
      <c r="C288" s="7" t="str">
        <f>"SNUG-203-17-020"</f>
        <v>SNUG-203-17-020</v>
      </c>
      <c r="D288" s="67">
        <v>42845</v>
      </c>
      <c r="E288" s="67">
        <v>43100</v>
      </c>
      <c r="F288" s="5">
        <v>11961242.4</v>
      </c>
      <c r="G288" s="5">
        <v>14951553</v>
      </c>
      <c r="H288" s="67">
        <v>43100</v>
      </c>
      <c r="I288" s="55">
        <v>9999170.0999999996</v>
      </c>
      <c r="J288" s="1"/>
    </row>
    <row r="289" spans="1:10" x14ac:dyDescent="0.25">
      <c r="A289" s="1">
        <v>138</v>
      </c>
      <c r="B289" s="74" t="s">
        <v>647</v>
      </c>
      <c r="C289" s="7" t="str">
        <f>"41-SU 156717"</f>
        <v>41-SU 156717</v>
      </c>
      <c r="D289" s="67">
        <v>42826</v>
      </c>
      <c r="E289" s="67">
        <v>43555</v>
      </c>
      <c r="F289" s="5">
        <v>12498</v>
      </c>
      <c r="G289" s="5">
        <v>15622.5</v>
      </c>
      <c r="H289" s="67">
        <v>43100</v>
      </c>
      <c r="I289" s="55">
        <v>9620.15</v>
      </c>
      <c r="J289" s="1"/>
    </row>
    <row r="290" spans="1:10" ht="36" x14ac:dyDescent="0.25">
      <c r="A290" s="1">
        <v>139</v>
      </c>
      <c r="B290" s="74" t="s">
        <v>516</v>
      </c>
      <c r="C290" s="7" t="str">
        <f>"194/2017 INA BENZIN ZA AUTE"</f>
        <v>194/2017 INA BENZIN ZA AUTE</v>
      </c>
      <c r="D290" s="67">
        <v>42851</v>
      </c>
      <c r="E290" s="67">
        <v>43555</v>
      </c>
      <c r="F290" s="5">
        <v>61622</v>
      </c>
      <c r="G290" s="5">
        <v>77027.5</v>
      </c>
      <c r="H290" s="67">
        <v>43100</v>
      </c>
      <c r="I290" s="55">
        <v>12327.5375</v>
      </c>
      <c r="J290" s="1"/>
    </row>
    <row r="291" spans="1:10" ht="36" x14ac:dyDescent="0.25">
      <c r="A291" s="1">
        <v>140</v>
      </c>
      <c r="B291" s="74" t="s">
        <v>485</v>
      </c>
      <c r="C291" s="7" t="str">
        <f>"KLASA: 910-01/17-01/26"</f>
        <v>KLASA: 910-01/17-01/26</v>
      </c>
      <c r="D291" s="67">
        <v>42852</v>
      </c>
      <c r="E291" s="67">
        <v>43555</v>
      </c>
      <c r="F291" s="5">
        <v>11302.4</v>
      </c>
      <c r="G291" s="5">
        <v>14128</v>
      </c>
      <c r="H291" s="67">
        <v>43100</v>
      </c>
      <c r="I291" s="55">
        <v>9038.7750000000015</v>
      </c>
      <c r="J291" s="1"/>
    </row>
    <row r="292" spans="1:10" ht="24" x14ac:dyDescent="0.25">
      <c r="A292" s="1">
        <v>141</v>
      </c>
      <c r="B292" s="74" t="s">
        <v>648</v>
      </c>
      <c r="C292" s="7" t="str">
        <f>"INA-UG-00273/17"</f>
        <v>INA-UG-00273/17</v>
      </c>
      <c r="D292" s="67">
        <v>42851</v>
      </c>
      <c r="E292" s="67">
        <v>43555</v>
      </c>
      <c r="F292" s="5">
        <v>47400</v>
      </c>
      <c r="G292" s="5">
        <v>59250</v>
      </c>
      <c r="H292" s="67">
        <v>43100</v>
      </c>
      <c r="I292" s="55">
        <v>24848.425000000003</v>
      </c>
      <c r="J292" s="1"/>
    </row>
    <row r="293" spans="1:10" ht="24" x14ac:dyDescent="0.25">
      <c r="A293" s="1">
        <v>142</v>
      </c>
      <c r="B293" s="74" t="s">
        <v>649</v>
      </c>
      <c r="C293" s="7" t="str">
        <f>"INA-UG-00312/17"</f>
        <v>INA-UG-00312/17</v>
      </c>
      <c r="D293" s="67">
        <v>42826</v>
      </c>
      <c r="E293" s="67">
        <v>43555</v>
      </c>
      <c r="F293" s="5">
        <v>201368.6</v>
      </c>
      <c r="G293" s="5">
        <v>251710.75</v>
      </c>
      <c r="H293" s="67">
        <v>43100</v>
      </c>
      <c r="I293" s="55">
        <v>77498.962499999994</v>
      </c>
      <c r="J293" s="1"/>
    </row>
    <row r="294" spans="1:10" ht="24" x14ac:dyDescent="0.25">
      <c r="A294" s="1">
        <v>143</v>
      </c>
      <c r="B294" s="74" t="s">
        <v>650</v>
      </c>
      <c r="C294" s="7" t="str">
        <f>"UG. O NABAVI GORIVA"</f>
        <v>UG. O NABAVI GORIVA</v>
      </c>
      <c r="D294" s="67">
        <v>42825</v>
      </c>
      <c r="E294" s="67">
        <v>43190</v>
      </c>
      <c r="F294" s="5">
        <v>0</v>
      </c>
      <c r="G294" s="5">
        <v>0</v>
      </c>
      <c r="H294" s="67">
        <v>43100</v>
      </c>
      <c r="I294" s="55">
        <v>8303.2374999999993</v>
      </c>
      <c r="J294" s="1"/>
    </row>
    <row r="295" spans="1:10" ht="36" x14ac:dyDescent="0.25">
      <c r="A295" s="1">
        <v>144</v>
      </c>
      <c r="B295" s="74" t="s">
        <v>651</v>
      </c>
      <c r="C295" s="7" t="str">
        <f>"UG.BR. 18/2017"</f>
        <v>UG.BR. 18/2017</v>
      </c>
      <c r="D295" s="67">
        <v>42845</v>
      </c>
      <c r="E295" s="67">
        <v>43190</v>
      </c>
      <c r="F295" s="5">
        <v>66861.850000000006</v>
      </c>
      <c r="G295" s="5">
        <v>83577.31</v>
      </c>
      <c r="H295" s="67">
        <v>43100</v>
      </c>
      <c r="I295" s="55">
        <v>15940.362500000001</v>
      </c>
      <c r="J295" s="1"/>
    </row>
    <row r="296" spans="1:10" ht="24" x14ac:dyDescent="0.25">
      <c r="A296" s="1">
        <v>145</v>
      </c>
      <c r="B296" s="74" t="s">
        <v>652</v>
      </c>
      <c r="C296" s="7" t="str">
        <f>"INA-UG-00179/17"</f>
        <v>INA-UG-00179/17</v>
      </c>
      <c r="D296" s="67">
        <v>42826</v>
      </c>
      <c r="E296" s="67">
        <v>43190</v>
      </c>
      <c r="F296" s="5">
        <v>112249</v>
      </c>
      <c r="G296" s="5">
        <v>140311.25</v>
      </c>
      <c r="H296" s="67">
        <v>43100</v>
      </c>
      <c r="I296" s="55">
        <v>28703.649999999998</v>
      </c>
      <c r="J296" s="1"/>
    </row>
    <row r="297" spans="1:10" x14ac:dyDescent="0.25">
      <c r="A297" s="1">
        <v>146</v>
      </c>
      <c r="B297" s="74" t="s">
        <v>653</v>
      </c>
      <c r="C297" s="7" t="str">
        <f>"19"</f>
        <v>19</v>
      </c>
      <c r="D297" s="67">
        <v>42826</v>
      </c>
      <c r="E297" s="67">
        <v>43465</v>
      </c>
      <c r="F297" s="5">
        <v>79985.36</v>
      </c>
      <c r="G297" s="5">
        <v>99981.7</v>
      </c>
      <c r="H297" s="67">
        <v>43100</v>
      </c>
      <c r="I297" s="55">
        <v>33678.425000000003</v>
      </c>
      <c r="J297" s="1"/>
    </row>
    <row r="298" spans="1:10" x14ac:dyDescent="0.25">
      <c r="A298" s="1">
        <v>147</v>
      </c>
      <c r="B298" s="74" t="s">
        <v>529</v>
      </c>
      <c r="C298" s="7" t="str">
        <f>"SU-269/2017"</f>
        <v>SU-269/2017</v>
      </c>
      <c r="D298" s="67">
        <v>42825</v>
      </c>
      <c r="E298" s="67">
        <v>43555</v>
      </c>
      <c r="F298" s="5">
        <v>453040</v>
      </c>
      <c r="G298" s="5">
        <v>566300</v>
      </c>
      <c r="H298" s="67">
        <v>43100</v>
      </c>
      <c r="I298" s="55">
        <v>45052.012499999997</v>
      </c>
      <c r="J298" s="1"/>
    </row>
    <row r="299" spans="1:10" ht="24" x14ac:dyDescent="0.25">
      <c r="A299" s="1">
        <v>148</v>
      </c>
      <c r="B299" s="74" t="s">
        <v>654</v>
      </c>
      <c r="C299" s="7" t="str">
        <f>"INA-UG-00185/17"</f>
        <v>INA-UG-00185/17</v>
      </c>
      <c r="D299" s="67">
        <v>42826</v>
      </c>
      <c r="E299" s="67">
        <v>42825</v>
      </c>
      <c r="F299" s="5">
        <v>43114</v>
      </c>
      <c r="G299" s="5">
        <v>53892.5</v>
      </c>
      <c r="H299" s="67">
        <v>43100</v>
      </c>
      <c r="I299" s="55">
        <v>10746.125</v>
      </c>
      <c r="J299" s="1"/>
    </row>
    <row r="300" spans="1:10" x14ac:dyDescent="0.25">
      <c r="A300" s="1">
        <v>149</v>
      </c>
      <c r="B300" s="74" t="s">
        <v>655</v>
      </c>
      <c r="C300" s="7" t="str">
        <f>"41-SU-270/17"</f>
        <v>41-SU-270/17</v>
      </c>
      <c r="D300" s="67">
        <v>42826</v>
      </c>
      <c r="E300" s="67">
        <v>42825</v>
      </c>
      <c r="F300" s="5">
        <v>8924.24</v>
      </c>
      <c r="G300" s="5">
        <v>11155.3</v>
      </c>
      <c r="H300" s="67">
        <v>43100</v>
      </c>
      <c r="I300" s="55">
        <v>3068.4375</v>
      </c>
      <c r="J300" s="1"/>
    </row>
    <row r="301" spans="1:10" ht="24" x14ac:dyDescent="0.25">
      <c r="A301" s="1">
        <v>150</v>
      </c>
      <c r="B301" s="74" t="s">
        <v>656</v>
      </c>
      <c r="C301" s="7" t="str">
        <f>"UG-00180/17"</f>
        <v>UG-00180/17</v>
      </c>
      <c r="D301" s="67">
        <v>42860</v>
      </c>
      <c r="E301" s="67">
        <v>43100</v>
      </c>
      <c r="F301" s="5">
        <v>38299.800000000003</v>
      </c>
      <c r="G301" s="5">
        <v>47874.75</v>
      </c>
      <c r="H301" s="67">
        <v>43100</v>
      </c>
      <c r="I301" s="55">
        <v>13808.287499999999</v>
      </c>
      <c r="J301" s="1"/>
    </row>
    <row r="302" spans="1:10" ht="24" x14ac:dyDescent="0.25">
      <c r="A302" s="1">
        <v>151</v>
      </c>
      <c r="B302" s="74" t="s">
        <v>513</v>
      </c>
      <c r="C302" s="7" t="str">
        <f>"406-07/17-01/13"</f>
        <v>406-07/17-01/13</v>
      </c>
      <c r="D302" s="67">
        <v>42818</v>
      </c>
      <c r="E302" s="67">
        <v>43555</v>
      </c>
      <c r="F302" s="5">
        <v>5517</v>
      </c>
      <c r="G302" s="5">
        <v>6896.25</v>
      </c>
      <c r="H302" s="67">
        <v>43100</v>
      </c>
      <c r="I302" s="55">
        <v>5690.1374999999998</v>
      </c>
      <c r="J302" s="1"/>
    </row>
    <row r="303" spans="1:10" ht="24" x14ac:dyDescent="0.25">
      <c r="A303" s="1">
        <v>152</v>
      </c>
      <c r="B303" s="74" t="s">
        <v>657</v>
      </c>
      <c r="C303" s="7" t="str">
        <f>"A-10/15"</f>
        <v>A-10/15</v>
      </c>
      <c r="D303" s="67">
        <v>42857</v>
      </c>
      <c r="E303" s="67">
        <v>43555</v>
      </c>
      <c r="F303" s="5">
        <v>34004.6</v>
      </c>
      <c r="G303" s="5">
        <v>42505.75</v>
      </c>
      <c r="H303" s="67">
        <v>43100</v>
      </c>
      <c r="I303" s="55">
        <v>11862.112500000001</v>
      </c>
      <c r="J303" s="1"/>
    </row>
    <row r="304" spans="1:10" ht="24" x14ac:dyDescent="0.25">
      <c r="A304" s="1">
        <v>153</v>
      </c>
      <c r="B304" s="74" t="s">
        <v>194</v>
      </c>
      <c r="C304" s="7" t="str">
        <f>"11/17"</f>
        <v>11/17</v>
      </c>
      <c r="D304" s="67">
        <v>42871</v>
      </c>
      <c r="E304" s="67">
        <v>43190</v>
      </c>
      <c r="F304" s="5">
        <v>240000</v>
      </c>
      <c r="G304" s="5">
        <v>300000</v>
      </c>
      <c r="H304" s="67">
        <v>43100</v>
      </c>
      <c r="I304" s="55">
        <v>143709.69999999998</v>
      </c>
      <c r="J304" s="1"/>
    </row>
    <row r="305" spans="1:10" ht="24" x14ac:dyDescent="0.25">
      <c r="A305" s="1">
        <v>154</v>
      </c>
      <c r="B305" s="74" t="s">
        <v>503</v>
      </c>
      <c r="C305" s="7" t="str">
        <f>"UGOVOR GRUPA 2,3,4"</f>
        <v>UGOVOR GRUPA 2,3,4</v>
      </c>
      <c r="D305" s="67">
        <v>42825</v>
      </c>
      <c r="E305" s="67">
        <v>43190</v>
      </c>
      <c r="F305" s="5">
        <v>86057.7</v>
      </c>
      <c r="G305" s="5">
        <v>107572.13</v>
      </c>
      <c r="H305" s="67">
        <v>43100</v>
      </c>
      <c r="I305" s="55">
        <v>55942.475000000006</v>
      </c>
      <c r="J305" s="1"/>
    </row>
    <row r="306" spans="1:10" x14ac:dyDescent="0.25">
      <c r="A306" s="1">
        <v>155</v>
      </c>
      <c r="B306" s="74" t="s">
        <v>492</v>
      </c>
      <c r="C306" s="7" t="str">
        <f>"2017"</f>
        <v>2017</v>
      </c>
      <c r="D306" s="67">
        <v>42826</v>
      </c>
      <c r="E306" s="67">
        <v>43555</v>
      </c>
      <c r="F306" s="5">
        <v>65000</v>
      </c>
      <c r="G306" s="5">
        <v>81250</v>
      </c>
      <c r="H306" s="67">
        <v>43100</v>
      </c>
      <c r="I306" s="55">
        <v>68318.824999999997</v>
      </c>
      <c r="J306" s="1"/>
    </row>
    <row r="307" spans="1:10" ht="24" x14ac:dyDescent="0.25">
      <c r="A307" s="1">
        <v>156</v>
      </c>
      <c r="B307" s="74" t="s">
        <v>658</v>
      </c>
      <c r="C307" s="7" t="str">
        <f>"030-01/17-02/12"</f>
        <v>030-01/17-02/12</v>
      </c>
      <c r="D307" s="67">
        <v>42852</v>
      </c>
      <c r="E307" s="67">
        <v>43190</v>
      </c>
      <c r="F307" s="5">
        <v>15000</v>
      </c>
      <c r="G307" s="5">
        <v>18750</v>
      </c>
      <c r="H307" s="67">
        <v>43100</v>
      </c>
      <c r="I307" s="55">
        <v>6003.2250000000004</v>
      </c>
      <c r="J307" s="1"/>
    </row>
    <row r="308" spans="1:10" x14ac:dyDescent="0.25">
      <c r="A308" s="1">
        <v>157</v>
      </c>
      <c r="B308" s="74" t="s">
        <v>659</v>
      </c>
      <c r="C308" s="7" t="str">
        <f>"UG-00278/17"</f>
        <v>UG-00278/17</v>
      </c>
      <c r="D308" s="67">
        <v>42825</v>
      </c>
      <c r="E308" s="67">
        <v>43555</v>
      </c>
      <c r="F308" s="5">
        <v>190000</v>
      </c>
      <c r="G308" s="5">
        <v>237500</v>
      </c>
      <c r="H308" s="67">
        <v>43100</v>
      </c>
      <c r="I308" s="55">
        <v>109156.98749999999</v>
      </c>
      <c r="J308" s="1"/>
    </row>
    <row r="309" spans="1:10" ht="24" x14ac:dyDescent="0.25">
      <c r="A309" s="1">
        <v>158</v>
      </c>
      <c r="B309" s="74" t="s">
        <v>660</v>
      </c>
      <c r="C309" s="7" t="str">
        <f>"INA-UG-00138/17"</f>
        <v>INA-UG-00138/17</v>
      </c>
      <c r="D309" s="67">
        <v>42825</v>
      </c>
      <c r="E309" s="67">
        <v>43190</v>
      </c>
      <c r="F309" s="5">
        <v>4000</v>
      </c>
      <c r="G309" s="5">
        <v>5000</v>
      </c>
      <c r="H309" s="67">
        <v>43100</v>
      </c>
      <c r="I309" s="55">
        <v>3791.4625000000001</v>
      </c>
      <c r="J309" s="1"/>
    </row>
    <row r="310" spans="1:10" ht="36" x14ac:dyDescent="0.25">
      <c r="A310" s="1">
        <v>159</v>
      </c>
      <c r="B310" s="74" t="s">
        <v>661</v>
      </c>
      <c r="C310" s="7" t="str">
        <f>"8/2016 - I , KLASA: 406-01/16"</f>
        <v>8/2016 - I , KLASA: 406-01/16</v>
      </c>
      <c r="D310" s="67">
        <v>42851</v>
      </c>
      <c r="E310" s="67">
        <v>43555</v>
      </c>
      <c r="F310" s="5">
        <v>85053.9</v>
      </c>
      <c r="G310" s="5">
        <v>106317.38</v>
      </c>
      <c r="H310" s="67">
        <v>43100</v>
      </c>
      <c r="I310" s="55">
        <v>37976.375</v>
      </c>
      <c r="J310" s="1"/>
    </row>
    <row r="311" spans="1:10" x14ac:dyDescent="0.25">
      <c r="A311" s="1">
        <v>160</v>
      </c>
      <c r="B311" s="74" t="s">
        <v>521</v>
      </c>
      <c r="C311" s="7" t="str">
        <f>"08/2017"</f>
        <v>08/2017</v>
      </c>
      <c r="D311" s="67">
        <v>42826</v>
      </c>
      <c r="E311" s="67">
        <v>43100</v>
      </c>
      <c r="F311" s="5">
        <v>161112</v>
      </c>
      <c r="G311" s="5">
        <v>201390</v>
      </c>
      <c r="H311" s="67">
        <v>43100</v>
      </c>
      <c r="I311" s="55">
        <v>134783.42500000002</v>
      </c>
      <c r="J311" s="1"/>
    </row>
    <row r="312" spans="1:10" x14ac:dyDescent="0.25">
      <c r="A312" s="1">
        <v>161</v>
      </c>
      <c r="B312" s="74" t="s">
        <v>662</v>
      </c>
      <c r="C312" s="7" t="str">
        <f>"MV-3/2017"</f>
        <v>MV-3/2017</v>
      </c>
      <c r="D312" s="67">
        <v>43039</v>
      </c>
      <c r="E312" s="67">
        <v>43555</v>
      </c>
      <c r="F312" s="5">
        <v>102703</v>
      </c>
      <c r="G312" s="5">
        <v>128378.75</v>
      </c>
      <c r="H312" s="67">
        <v>43039</v>
      </c>
      <c r="I312" s="55">
        <v>21319.625</v>
      </c>
      <c r="J312" s="1"/>
    </row>
    <row r="313" spans="1:10" ht="24" x14ac:dyDescent="0.25">
      <c r="A313" s="1">
        <v>162</v>
      </c>
      <c r="B313" s="74" t="s">
        <v>663</v>
      </c>
      <c r="C313" s="7" t="str">
        <f>"8-2016/I-MB"</f>
        <v>8-2016/I-MB</v>
      </c>
      <c r="D313" s="67">
        <v>42826</v>
      </c>
      <c r="E313" s="67">
        <v>43555</v>
      </c>
      <c r="F313" s="5">
        <v>172764.6</v>
      </c>
      <c r="G313" s="5">
        <v>215955.75</v>
      </c>
      <c r="H313" s="67">
        <v>43100</v>
      </c>
      <c r="I313" s="55">
        <v>11858.199999999999</v>
      </c>
      <c r="J313" s="1"/>
    </row>
    <row r="314" spans="1:10" ht="24" x14ac:dyDescent="0.25">
      <c r="A314" s="1">
        <v>163</v>
      </c>
      <c r="B314" s="74" t="s">
        <v>664</v>
      </c>
      <c r="C314" s="7" t="str">
        <f>"KLASA: 406-06/17-01/02"</f>
        <v>KLASA: 406-06/17-01/02</v>
      </c>
      <c r="D314" s="67">
        <v>42826</v>
      </c>
      <c r="E314" s="67">
        <v>43555</v>
      </c>
      <c r="F314" s="5">
        <v>935.28</v>
      </c>
      <c r="G314" s="5">
        <v>1169.0999999999999</v>
      </c>
      <c r="H314" s="67">
        <v>43100</v>
      </c>
      <c r="I314" s="55">
        <v>377.22499999999997</v>
      </c>
      <c r="J314" s="1"/>
    </row>
    <row r="315" spans="1:10" ht="24" x14ac:dyDescent="0.25">
      <c r="A315" s="1">
        <v>164</v>
      </c>
      <c r="B315" s="74" t="s">
        <v>665</v>
      </c>
      <c r="C315" s="7" t="str">
        <f>"01/2017"</f>
        <v>01/2017</v>
      </c>
      <c r="D315" s="67">
        <v>42851</v>
      </c>
      <c r="E315" s="67">
        <v>43555</v>
      </c>
      <c r="F315" s="5">
        <v>4920.32</v>
      </c>
      <c r="G315" s="5">
        <v>6150.4</v>
      </c>
      <c r="H315" s="67">
        <v>43100</v>
      </c>
      <c r="I315" s="55">
        <v>4685.4375</v>
      </c>
      <c r="J315" s="1"/>
    </row>
    <row r="316" spans="1:10" ht="24" x14ac:dyDescent="0.25">
      <c r="A316" s="1">
        <v>165</v>
      </c>
      <c r="B316" s="74" t="s">
        <v>666</v>
      </c>
      <c r="C316" s="7" t="str">
        <f>"00319/17"</f>
        <v>00319/17</v>
      </c>
      <c r="D316" s="67">
        <v>42836</v>
      </c>
      <c r="E316" s="67">
        <v>43555</v>
      </c>
      <c r="F316" s="5">
        <v>190000</v>
      </c>
      <c r="G316" s="5">
        <v>237500</v>
      </c>
      <c r="H316" s="67">
        <v>43100</v>
      </c>
      <c r="I316" s="55">
        <v>244761.73750000002</v>
      </c>
      <c r="J316" s="1"/>
    </row>
    <row r="317" spans="1:10" ht="24" x14ac:dyDescent="0.25">
      <c r="A317" s="1">
        <v>166</v>
      </c>
      <c r="B317" s="74" t="s">
        <v>667</v>
      </c>
      <c r="C317" s="7" t="str">
        <f>"INA-UG-00144/17"</f>
        <v>INA-UG-00144/17</v>
      </c>
      <c r="D317" s="67">
        <v>42830</v>
      </c>
      <c r="E317" s="67">
        <v>43555</v>
      </c>
      <c r="F317" s="5">
        <v>57464</v>
      </c>
      <c r="G317" s="5">
        <v>71830</v>
      </c>
      <c r="H317" s="67">
        <v>43100</v>
      </c>
      <c r="I317" s="55">
        <v>30337.112499999999</v>
      </c>
      <c r="J317" s="1"/>
    </row>
    <row r="318" spans="1:10" ht="24" x14ac:dyDescent="0.25">
      <c r="A318" s="1">
        <v>167</v>
      </c>
      <c r="B318" s="74" t="s">
        <v>668</v>
      </c>
      <c r="C318" s="7" t="str">
        <f>"INA-UG-00271/17"</f>
        <v>INA-UG-00271/17</v>
      </c>
      <c r="D318" s="67">
        <v>42865</v>
      </c>
      <c r="E318" s="67">
        <v>43555</v>
      </c>
      <c r="F318" s="5">
        <v>59492</v>
      </c>
      <c r="G318" s="5">
        <v>73365.009999999995</v>
      </c>
      <c r="H318" s="67">
        <v>43100</v>
      </c>
      <c r="I318" s="55">
        <v>12738.3</v>
      </c>
      <c r="J318" s="1"/>
    </row>
    <row r="319" spans="1:10" ht="24" x14ac:dyDescent="0.25">
      <c r="A319" s="1">
        <v>168</v>
      </c>
      <c r="B319" s="74" t="s">
        <v>669</v>
      </c>
      <c r="C319" s="7" t="str">
        <f>"INA-UG-00274/17"</f>
        <v>INA-UG-00274/17</v>
      </c>
      <c r="D319" s="67">
        <v>42860</v>
      </c>
      <c r="E319" s="67">
        <v>43189</v>
      </c>
      <c r="F319" s="5">
        <v>6650</v>
      </c>
      <c r="G319" s="5">
        <v>8312.5</v>
      </c>
      <c r="H319" s="67">
        <v>43100</v>
      </c>
      <c r="I319" s="55">
        <v>2453.3874999999998</v>
      </c>
      <c r="J319" s="1"/>
    </row>
    <row r="320" spans="1:10" ht="36" x14ac:dyDescent="0.25">
      <c r="A320" s="1">
        <v>169</v>
      </c>
      <c r="B320" s="74" t="s">
        <v>670</v>
      </c>
      <c r="C320" s="7" t="str">
        <f>"8/2016-I-PUČKI PRAVOBRANITELJ"</f>
        <v>8/2016-I-PUČKI PRAVOBRANITELJ</v>
      </c>
      <c r="D320" s="67">
        <v>42860</v>
      </c>
      <c r="E320" s="67">
        <v>43555</v>
      </c>
      <c r="F320" s="5">
        <v>80038.75</v>
      </c>
      <c r="G320" s="5">
        <v>100048.44</v>
      </c>
      <c r="H320" s="67">
        <v>43100</v>
      </c>
      <c r="I320" s="55">
        <v>34438.237500000003</v>
      </c>
      <c r="J320" s="1"/>
    </row>
    <row r="321" spans="1:10" ht="36" x14ac:dyDescent="0.25">
      <c r="A321" s="1">
        <v>170</v>
      </c>
      <c r="B321" s="74" t="s">
        <v>496</v>
      </c>
      <c r="C321" s="7" t="str">
        <f>"UGOVOR -BENZINSKE POSTAJE"</f>
        <v>UGOVOR -BENZINSKE POSTAJE</v>
      </c>
      <c r="D321" s="67">
        <v>42830</v>
      </c>
      <c r="E321" s="67">
        <v>43555</v>
      </c>
      <c r="F321" s="5">
        <v>68210</v>
      </c>
      <c r="G321" s="5">
        <v>85262.5</v>
      </c>
      <c r="H321" s="67">
        <v>43100</v>
      </c>
      <c r="I321" s="55">
        <v>11809.625</v>
      </c>
      <c r="J321" s="1"/>
    </row>
    <row r="322" spans="1:10" ht="24" x14ac:dyDescent="0.25">
      <c r="A322" s="1">
        <v>171</v>
      </c>
      <c r="B322" s="74" t="s">
        <v>525</v>
      </c>
      <c r="C322" s="7" t="str">
        <f>"01/17-DUSJN"</f>
        <v>01/17-DUSJN</v>
      </c>
      <c r="D322" s="67">
        <v>42844</v>
      </c>
      <c r="E322" s="67">
        <v>43190</v>
      </c>
      <c r="F322" s="5">
        <v>59732.7</v>
      </c>
      <c r="G322" s="5">
        <v>74665.88</v>
      </c>
      <c r="H322" s="67">
        <v>43100</v>
      </c>
      <c r="I322" s="55">
        <v>41443.837500000001</v>
      </c>
      <c r="J322" s="1"/>
    </row>
    <row r="323" spans="1:10" ht="24" x14ac:dyDescent="0.25">
      <c r="A323" s="1">
        <v>172</v>
      </c>
      <c r="B323" s="74" t="s">
        <v>671</v>
      </c>
      <c r="C323" s="7" t="str">
        <f>"INA-UG-00303/17"</f>
        <v>INA-UG-00303/17</v>
      </c>
      <c r="D323" s="67">
        <v>42826</v>
      </c>
      <c r="E323" s="67">
        <v>43555</v>
      </c>
      <c r="F323" s="5">
        <v>64306</v>
      </c>
      <c r="G323" s="5">
        <v>80382.5</v>
      </c>
      <c r="H323" s="67">
        <v>43100</v>
      </c>
      <c r="I323" s="55">
        <v>12561.2125</v>
      </c>
      <c r="J323" s="1"/>
    </row>
    <row r="324" spans="1:10" ht="24" x14ac:dyDescent="0.25">
      <c r="A324" s="1">
        <v>173</v>
      </c>
      <c r="B324" s="74" t="s">
        <v>672</v>
      </c>
      <c r="C324" s="7" t="str">
        <f>"INA-UG-00284/17"</f>
        <v>INA-UG-00284/17</v>
      </c>
      <c r="D324" s="67">
        <v>42837</v>
      </c>
      <c r="E324" s="67">
        <v>43190</v>
      </c>
      <c r="F324" s="5">
        <v>6162.7</v>
      </c>
      <c r="G324" s="5">
        <v>7703.38</v>
      </c>
      <c r="H324" s="67">
        <v>43100</v>
      </c>
      <c r="I324" s="55">
        <v>6197.7374999999993</v>
      </c>
      <c r="J324" s="1"/>
    </row>
    <row r="325" spans="1:10" ht="24" x14ac:dyDescent="0.25">
      <c r="A325" s="1">
        <v>174</v>
      </c>
      <c r="B325" s="74" t="s">
        <v>673</v>
      </c>
      <c r="C325" s="7" t="str">
        <f>"INA-UG-00139/17"</f>
        <v>INA-UG-00139/17</v>
      </c>
      <c r="D325" s="67">
        <v>42826</v>
      </c>
      <c r="E325" s="67">
        <v>43190</v>
      </c>
      <c r="F325" s="5">
        <v>59211.5</v>
      </c>
      <c r="G325" s="5">
        <v>74014.38</v>
      </c>
      <c r="H325" s="67">
        <v>43100</v>
      </c>
      <c r="I325" s="55">
        <v>37156.412499999999</v>
      </c>
      <c r="J325" s="1"/>
    </row>
    <row r="326" spans="1:10" ht="36" x14ac:dyDescent="0.25">
      <c r="A326" s="1">
        <v>175</v>
      </c>
      <c r="B326" s="74" t="s">
        <v>674</v>
      </c>
      <c r="C326" s="7" t="str">
        <f>"UGOVOR O NABAVI GORIVA 2 3 I 4"</f>
        <v>UGOVOR O NABAVI GORIVA 2 3 I 4</v>
      </c>
      <c r="D326" s="67">
        <v>42825</v>
      </c>
      <c r="E326" s="67">
        <v>43190</v>
      </c>
      <c r="F326" s="5">
        <v>66735</v>
      </c>
      <c r="G326" s="5">
        <v>83418.75</v>
      </c>
      <c r="H326" s="67">
        <v>43100</v>
      </c>
      <c r="I326" s="55">
        <v>15092.5</v>
      </c>
      <c r="J326" s="1"/>
    </row>
    <row r="327" spans="1:10" ht="36" x14ac:dyDescent="0.25">
      <c r="A327" s="1">
        <v>176</v>
      </c>
      <c r="B327" s="74" t="s">
        <v>675</v>
      </c>
      <c r="C327" s="7" t="str">
        <f>"UGOVOR GORIVO GRUPA 2. I 4."</f>
        <v>UGOVOR GORIVO GRUPA 2. I 4.</v>
      </c>
      <c r="D327" s="67">
        <v>42825</v>
      </c>
      <c r="E327" s="67">
        <v>43190</v>
      </c>
      <c r="F327" s="5">
        <v>29100.6</v>
      </c>
      <c r="G327" s="5">
        <v>36375.75</v>
      </c>
      <c r="H327" s="67">
        <v>43100</v>
      </c>
      <c r="I327" s="55">
        <v>24106.862500000003</v>
      </c>
      <c r="J327" s="1"/>
    </row>
    <row r="328" spans="1:10" ht="24" x14ac:dyDescent="0.25">
      <c r="A328" s="1">
        <v>177</v>
      </c>
      <c r="B328" s="74" t="s">
        <v>676</v>
      </c>
      <c r="C328" s="7" t="str">
        <f>"INA-UG-00270/17"</f>
        <v>INA-UG-00270/17</v>
      </c>
      <c r="D328" s="67">
        <v>42864</v>
      </c>
      <c r="E328" s="67">
        <v>43555</v>
      </c>
      <c r="F328" s="5">
        <v>31918</v>
      </c>
      <c r="G328" s="5">
        <v>39897.51</v>
      </c>
      <c r="H328" s="67">
        <v>43100</v>
      </c>
      <c r="I328" s="55">
        <v>11998.475</v>
      </c>
      <c r="J328" s="1"/>
    </row>
    <row r="329" spans="1:10" ht="24" x14ac:dyDescent="0.25">
      <c r="A329" s="1">
        <v>178</v>
      </c>
      <c r="B329" s="74" t="s">
        <v>677</v>
      </c>
      <c r="C329" s="7" t="str">
        <f>"INA-UG-00269/17"</f>
        <v>INA-UG-00269/17</v>
      </c>
      <c r="D329" s="67">
        <v>42864</v>
      </c>
      <c r="E329" s="67">
        <v>43555</v>
      </c>
      <c r="F329" s="5">
        <v>18415.599999999999</v>
      </c>
      <c r="G329" s="5">
        <v>23019.5</v>
      </c>
      <c r="H329" s="67">
        <v>43100</v>
      </c>
      <c r="I329" s="55">
        <v>3964.5375000000004</v>
      </c>
      <c r="J329" s="1"/>
    </row>
    <row r="330" spans="1:10" ht="24" x14ac:dyDescent="0.25">
      <c r="A330" s="1">
        <v>179</v>
      </c>
      <c r="B330" s="74" t="s">
        <v>509</v>
      </c>
      <c r="C330" s="7" t="str">
        <f>"INA-UG-00134/17"</f>
        <v>INA-UG-00134/17</v>
      </c>
      <c r="D330" s="67">
        <v>42832</v>
      </c>
      <c r="E330" s="67">
        <v>43100</v>
      </c>
      <c r="F330" s="5">
        <v>6225.18</v>
      </c>
      <c r="G330" s="5">
        <v>7781.48</v>
      </c>
      <c r="H330" s="67">
        <v>43100</v>
      </c>
      <c r="I330" s="55">
        <v>3784.0875000000001</v>
      </c>
      <c r="J330" s="1"/>
    </row>
    <row r="331" spans="1:10" x14ac:dyDescent="0.25">
      <c r="A331" s="1">
        <v>180</v>
      </c>
      <c r="B331" s="74" t="s">
        <v>474</v>
      </c>
      <c r="C331" s="7" t="str">
        <f>"00294/17"</f>
        <v>00294/17</v>
      </c>
      <c r="D331" s="67">
        <v>42845</v>
      </c>
      <c r="E331" s="67">
        <v>43190</v>
      </c>
      <c r="F331" s="5">
        <v>72200.7</v>
      </c>
      <c r="G331" s="5">
        <v>90250.880000000005</v>
      </c>
      <c r="H331" s="67">
        <v>43100</v>
      </c>
      <c r="I331" s="55">
        <v>43727.212499999994</v>
      </c>
      <c r="J331" s="1"/>
    </row>
    <row r="332" spans="1:10" x14ac:dyDescent="0.25">
      <c r="A332" s="1">
        <v>181</v>
      </c>
      <c r="B332" s="74" t="s">
        <v>526</v>
      </c>
      <c r="C332" s="7" t="str">
        <f>"UG-272/17"</f>
        <v>UG-272/17</v>
      </c>
      <c r="D332" s="67">
        <v>42877</v>
      </c>
      <c r="E332" s="67">
        <v>43190</v>
      </c>
      <c r="F332" s="5">
        <v>23110</v>
      </c>
      <c r="G332" s="5">
        <v>29000</v>
      </c>
      <c r="H332" s="67">
        <v>43100</v>
      </c>
      <c r="I332" s="55">
        <v>19879.324999999997</v>
      </c>
      <c r="J332" s="1"/>
    </row>
    <row r="333" spans="1:10" ht="36" x14ac:dyDescent="0.25">
      <c r="A333" s="1">
        <v>182</v>
      </c>
      <c r="B333" s="74" t="s">
        <v>678</v>
      </c>
      <c r="C333" s="7" t="str">
        <f>"NABAVA GORIVA 2017 -REKTORAT"</f>
        <v>NABAVA GORIVA 2017 -REKTORAT</v>
      </c>
      <c r="D333" s="67">
        <v>42826</v>
      </c>
      <c r="E333" s="67">
        <v>43555</v>
      </c>
      <c r="F333" s="5">
        <v>88524.2</v>
      </c>
      <c r="G333" s="5">
        <v>110655.25</v>
      </c>
      <c r="H333" s="67">
        <v>43100</v>
      </c>
      <c r="I333" s="55">
        <v>22384.412499999999</v>
      </c>
      <c r="J333" s="1"/>
    </row>
    <row r="334" spans="1:10" ht="36" x14ac:dyDescent="0.25">
      <c r="A334" s="1">
        <v>183</v>
      </c>
      <c r="B334" s="74" t="s">
        <v>678</v>
      </c>
      <c r="C334" s="7" t="str">
        <f>"NABAVA GORIVA 2017- OD. BIOLOG"</f>
        <v>NABAVA GORIVA 2017- OD. BIOLOG</v>
      </c>
      <c r="D334" s="67">
        <v>42826</v>
      </c>
      <c r="E334" s="67">
        <v>43555</v>
      </c>
      <c r="F334" s="5">
        <v>84510</v>
      </c>
      <c r="G334" s="5">
        <v>105637.5</v>
      </c>
      <c r="H334" s="67">
        <v>43100</v>
      </c>
      <c r="I334" s="55">
        <v>21411.1875</v>
      </c>
      <c r="J334" s="1"/>
    </row>
    <row r="335" spans="1:10" ht="24" x14ac:dyDescent="0.25">
      <c r="A335" s="1">
        <v>184</v>
      </c>
      <c r="B335" s="74" t="s">
        <v>679</v>
      </c>
      <c r="C335" s="7" t="str">
        <f>"00255-17"</f>
        <v>00255-17</v>
      </c>
      <c r="D335" s="67">
        <v>42826</v>
      </c>
      <c r="E335" s="67">
        <v>43555</v>
      </c>
      <c r="F335" s="5">
        <v>18500</v>
      </c>
      <c r="G335" s="5">
        <v>23125</v>
      </c>
      <c r="H335" s="67">
        <v>43100</v>
      </c>
      <c r="I335" s="55">
        <v>16798.5625</v>
      </c>
      <c r="J335" s="1"/>
    </row>
    <row r="336" spans="1:10" ht="36" x14ac:dyDescent="0.25">
      <c r="A336" s="1">
        <v>185</v>
      </c>
      <c r="B336" s="74" t="s">
        <v>476</v>
      </c>
      <c r="C336" s="7" t="str">
        <f>"21/17"</f>
        <v>21/17</v>
      </c>
      <c r="D336" s="67">
        <v>42879</v>
      </c>
      <c r="E336" s="67">
        <v>43555</v>
      </c>
      <c r="F336" s="5">
        <v>220775.7</v>
      </c>
      <c r="G336" s="5">
        <v>275969.63</v>
      </c>
      <c r="H336" s="67">
        <v>43100</v>
      </c>
      <c r="I336" s="55">
        <v>80551.987499999988</v>
      </c>
      <c r="J336" s="1"/>
    </row>
    <row r="337" spans="1:10" ht="24" x14ac:dyDescent="0.25">
      <c r="A337" s="1">
        <v>186</v>
      </c>
      <c r="B337" s="74" t="s">
        <v>680</v>
      </c>
      <c r="C337" s="7" t="str">
        <f>"INA-UG-00300/17"</f>
        <v>INA-UG-00300/17</v>
      </c>
      <c r="D337" s="67">
        <v>42825</v>
      </c>
      <c r="E337" s="67">
        <v>43555</v>
      </c>
      <c r="F337" s="5">
        <v>46517.2</v>
      </c>
      <c r="G337" s="5">
        <v>58146.5</v>
      </c>
      <c r="H337" s="67">
        <v>43100</v>
      </c>
      <c r="I337" s="55">
        <v>18344.112500000003</v>
      </c>
      <c r="J337" s="1"/>
    </row>
    <row r="338" spans="1:10" ht="36" x14ac:dyDescent="0.25">
      <c r="A338" s="1">
        <v>187</v>
      </c>
      <c r="B338" s="74" t="s">
        <v>681</v>
      </c>
      <c r="C338" s="7" t="str">
        <f>"INA-UG-00318/17"</f>
        <v>INA-UG-00318/17</v>
      </c>
      <c r="D338" s="67">
        <v>42880</v>
      </c>
      <c r="E338" s="67">
        <v>43555</v>
      </c>
      <c r="F338" s="5">
        <v>16000</v>
      </c>
      <c r="G338" s="5">
        <v>20000</v>
      </c>
      <c r="H338" s="67">
        <v>43100</v>
      </c>
      <c r="I338" s="55">
        <v>1100.1375</v>
      </c>
      <c r="J338" s="1"/>
    </row>
    <row r="339" spans="1:10" ht="24" x14ac:dyDescent="0.25">
      <c r="A339" s="1">
        <v>188</v>
      </c>
      <c r="B339" s="74" t="s">
        <v>682</v>
      </c>
      <c r="C339" s="7" t="str">
        <f>"INA-UG-00265/17"</f>
        <v>INA-UG-00265/17</v>
      </c>
      <c r="D339" s="67">
        <v>42825</v>
      </c>
      <c r="E339" s="67">
        <v>43190</v>
      </c>
      <c r="F339" s="5">
        <v>107436</v>
      </c>
      <c r="G339" s="5">
        <v>134295</v>
      </c>
      <c r="H339" s="67">
        <v>43100</v>
      </c>
      <c r="I339" s="55">
        <v>25165.875</v>
      </c>
      <c r="J339" s="1"/>
    </row>
    <row r="340" spans="1:10" ht="36" x14ac:dyDescent="0.25">
      <c r="A340" s="1">
        <v>189</v>
      </c>
      <c r="B340" s="74" t="s">
        <v>683</v>
      </c>
      <c r="C340" s="7" t="str">
        <f>"UGOVOR O NABAVI GORIVA"</f>
        <v>UGOVOR O NABAVI GORIVA</v>
      </c>
      <c r="D340" s="67">
        <v>42825</v>
      </c>
      <c r="E340" s="67">
        <v>43555</v>
      </c>
      <c r="F340" s="5">
        <v>25722.400000000001</v>
      </c>
      <c r="G340" s="5">
        <v>32153</v>
      </c>
      <c r="H340" s="67">
        <v>43100</v>
      </c>
      <c r="I340" s="55">
        <v>7118.2624999999998</v>
      </c>
      <c r="J340" s="1"/>
    </row>
    <row r="341" spans="1:10" ht="36" x14ac:dyDescent="0.25">
      <c r="A341" s="1">
        <v>190</v>
      </c>
      <c r="B341" s="74" t="s">
        <v>539</v>
      </c>
      <c r="C341" s="7" t="str">
        <f>"INA-UG-00301/17;SU-595/17"</f>
        <v>INA-UG-00301/17;SU-595/17</v>
      </c>
      <c r="D341" s="67">
        <v>42881</v>
      </c>
      <c r="E341" s="67">
        <v>43555</v>
      </c>
      <c r="F341" s="5">
        <v>65658</v>
      </c>
      <c r="G341" s="5">
        <v>82072.5</v>
      </c>
      <c r="H341" s="67">
        <v>43100</v>
      </c>
      <c r="I341" s="55">
        <v>29415.200000000001</v>
      </c>
      <c r="J341" s="1"/>
    </row>
    <row r="342" spans="1:10" ht="24" x14ac:dyDescent="0.25">
      <c r="A342" s="1">
        <v>191</v>
      </c>
      <c r="B342" s="74" t="s">
        <v>684</v>
      </c>
      <c r="C342" s="7" t="str">
        <f>"44-06/17-01"</f>
        <v>44-06/17-01</v>
      </c>
      <c r="D342" s="67">
        <v>42825</v>
      </c>
      <c r="E342" s="67">
        <v>43555</v>
      </c>
      <c r="F342" s="5">
        <v>129315.8</v>
      </c>
      <c r="G342" s="5">
        <v>161644.75</v>
      </c>
      <c r="H342" s="67">
        <v>43100</v>
      </c>
      <c r="I342" s="55">
        <v>77957.475000000006</v>
      </c>
      <c r="J342" s="1"/>
    </row>
    <row r="343" spans="1:10" ht="24" x14ac:dyDescent="0.25">
      <c r="A343" s="1">
        <v>192</v>
      </c>
      <c r="B343" s="74" t="s">
        <v>685</v>
      </c>
      <c r="C343" s="7" t="str">
        <f>"INA-UG-00316/17"</f>
        <v>INA-UG-00316/17</v>
      </c>
      <c r="D343" s="67">
        <v>42825</v>
      </c>
      <c r="E343" s="67">
        <v>43555</v>
      </c>
      <c r="F343" s="5">
        <v>30534.42</v>
      </c>
      <c r="G343" s="5">
        <v>38168.03</v>
      </c>
      <c r="H343" s="67">
        <v>43100</v>
      </c>
      <c r="I343" s="55">
        <v>19077.525000000001</v>
      </c>
      <c r="J343" s="1"/>
    </row>
    <row r="344" spans="1:10" ht="36" x14ac:dyDescent="0.25">
      <c r="A344" s="1">
        <v>193</v>
      </c>
      <c r="B344" s="74" t="s">
        <v>686</v>
      </c>
      <c r="C344" s="7" t="str">
        <f>"UDU PGZ / 2 / 17"</f>
        <v>UDU PGZ / 2 / 17</v>
      </c>
      <c r="D344" s="67">
        <v>42843</v>
      </c>
      <c r="E344" s="67">
        <v>43190</v>
      </c>
      <c r="F344" s="5">
        <v>49969.72</v>
      </c>
      <c r="G344" s="5">
        <v>62462.15</v>
      </c>
      <c r="H344" s="67">
        <v>43100</v>
      </c>
      <c r="I344" s="55">
        <v>48519.174999999996</v>
      </c>
      <c r="J344" s="1"/>
    </row>
    <row r="345" spans="1:10" x14ac:dyDescent="0.25">
      <c r="A345" s="1">
        <v>194</v>
      </c>
      <c r="B345" s="74" t="s">
        <v>687</v>
      </c>
      <c r="C345" s="7" t="str">
        <f>"41-SU-413/17"</f>
        <v>41-SU-413/17</v>
      </c>
      <c r="D345" s="67">
        <v>42826</v>
      </c>
      <c r="E345" s="67">
        <v>43190</v>
      </c>
      <c r="F345" s="5">
        <v>24165.599999999999</v>
      </c>
      <c r="G345" s="5">
        <v>30207</v>
      </c>
      <c r="H345" s="67">
        <v>43100</v>
      </c>
      <c r="I345" s="55">
        <v>14328.5</v>
      </c>
      <c r="J345" s="1"/>
    </row>
    <row r="346" spans="1:10" ht="24" x14ac:dyDescent="0.25">
      <c r="A346" s="1">
        <v>195</v>
      </c>
      <c r="B346" s="74" t="s">
        <v>688</v>
      </c>
      <c r="C346" s="7" t="str">
        <f>"17 SU-173/17-2"</f>
        <v>17 SU-173/17-2</v>
      </c>
      <c r="D346" s="67">
        <v>42826</v>
      </c>
      <c r="E346" s="67">
        <v>43555</v>
      </c>
      <c r="F346" s="5">
        <v>32446.1</v>
      </c>
      <c r="G346" s="5">
        <v>40557.629999999997</v>
      </c>
      <c r="H346" s="67">
        <v>43100</v>
      </c>
      <c r="I346" s="55">
        <v>16774.3</v>
      </c>
      <c r="J346" s="1"/>
    </row>
    <row r="347" spans="1:10" ht="24" x14ac:dyDescent="0.25">
      <c r="A347" s="1">
        <v>196</v>
      </c>
      <c r="B347" s="74" t="s">
        <v>689</v>
      </c>
      <c r="C347" s="7" t="str">
        <f>"406-01/16-01/009"</f>
        <v>406-01/16-01/009</v>
      </c>
      <c r="D347" s="67">
        <v>42825</v>
      </c>
      <c r="E347" s="67">
        <v>43100</v>
      </c>
      <c r="F347" s="5">
        <v>4800</v>
      </c>
      <c r="G347" s="5">
        <v>6000</v>
      </c>
      <c r="H347" s="67">
        <v>43100</v>
      </c>
      <c r="I347" s="55">
        <v>2723.6624999999999</v>
      </c>
      <c r="J347" s="1"/>
    </row>
    <row r="348" spans="1:10" ht="36" x14ac:dyDescent="0.25">
      <c r="A348" s="1">
        <v>197</v>
      </c>
      <c r="B348" s="74" t="s">
        <v>511</v>
      </c>
      <c r="C348" s="7" t="str">
        <f>"GORIVO NA BP GRUPA3 (804/2017)"</f>
        <v>GORIVO NA BP GRUPA3 (804/2017)</v>
      </c>
      <c r="D348" s="67">
        <v>42825</v>
      </c>
      <c r="E348" s="67">
        <v>43555</v>
      </c>
      <c r="F348" s="5">
        <v>29083.8</v>
      </c>
      <c r="G348" s="5">
        <v>36354.75</v>
      </c>
      <c r="H348" s="67">
        <v>43100</v>
      </c>
      <c r="I348" s="55">
        <v>9473.5874999999996</v>
      </c>
      <c r="J348" s="1"/>
    </row>
    <row r="349" spans="1:10" ht="24" x14ac:dyDescent="0.25">
      <c r="A349" s="1">
        <v>198</v>
      </c>
      <c r="B349" s="74" t="s">
        <v>690</v>
      </c>
      <c r="C349" s="7" t="str">
        <f>"INA-UG-00176/17"</f>
        <v>INA-UG-00176/17</v>
      </c>
      <c r="D349" s="67">
        <v>42825</v>
      </c>
      <c r="E349" s="67">
        <v>43555</v>
      </c>
      <c r="F349" s="5">
        <v>21487.48</v>
      </c>
      <c r="G349" s="5">
        <v>26859.35</v>
      </c>
      <c r="H349" s="67">
        <v>43100</v>
      </c>
      <c r="I349" s="55">
        <v>5605.5</v>
      </c>
      <c r="J349" s="1"/>
    </row>
    <row r="350" spans="1:10" ht="24" x14ac:dyDescent="0.25">
      <c r="A350" s="1">
        <v>199</v>
      </c>
      <c r="B350" s="74" t="s">
        <v>691</v>
      </c>
      <c r="C350" s="7" t="str">
        <f>"INA-UG-00317/17"</f>
        <v>INA-UG-00317/17</v>
      </c>
      <c r="D350" s="67">
        <v>42891</v>
      </c>
      <c r="E350" s="67">
        <v>43190</v>
      </c>
      <c r="F350" s="5">
        <v>36000</v>
      </c>
      <c r="G350" s="5">
        <v>45000</v>
      </c>
      <c r="H350" s="67">
        <v>43100</v>
      </c>
      <c r="I350" s="55">
        <v>12093.1625</v>
      </c>
      <c r="J350" s="1"/>
    </row>
    <row r="351" spans="1:10" ht="24" x14ac:dyDescent="0.25">
      <c r="A351" s="1">
        <v>200</v>
      </c>
      <c r="B351" s="74" t="s">
        <v>692</v>
      </c>
      <c r="C351" s="7" t="str">
        <f>"INA-UG-00306/17"</f>
        <v>INA-UG-00306/17</v>
      </c>
      <c r="D351" s="67">
        <v>42826</v>
      </c>
      <c r="E351" s="67">
        <v>43555</v>
      </c>
      <c r="F351" s="5">
        <v>25410</v>
      </c>
      <c r="G351" s="5">
        <v>31762.5</v>
      </c>
      <c r="H351" s="67">
        <v>43100</v>
      </c>
      <c r="I351" s="55">
        <v>15728.199999999999</v>
      </c>
      <c r="J351" s="1"/>
    </row>
    <row r="352" spans="1:10" ht="24" x14ac:dyDescent="0.25">
      <c r="A352" s="1">
        <v>201</v>
      </c>
      <c r="B352" s="74" t="s">
        <v>693</v>
      </c>
      <c r="C352" s="7" t="str">
        <f>"406-01/17-01/0009"</f>
        <v>406-01/17-01/0009</v>
      </c>
      <c r="D352" s="67">
        <v>42826</v>
      </c>
      <c r="E352" s="67">
        <v>43190</v>
      </c>
      <c r="F352" s="5">
        <v>18000</v>
      </c>
      <c r="G352" s="5">
        <v>22500</v>
      </c>
      <c r="H352" s="67">
        <v>43008</v>
      </c>
      <c r="I352" s="55">
        <v>9397.625</v>
      </c>
      <c r="J352" s="1"/>
    </row>
    <row r="353" spans="1:10" ht="24" x14ac:dyDescent="0.25">
      <c r="A353" s="1">
        <v>202</v>
      </c>
      <c r="B353" s="74" t="s">
        <v>195</v>
      </c>
      <c r="C353" s="7" t="str">
        <f>"406-01/17-01/50"</f>
        <v>406-01/17-01/50</v>
      </c>
      <c r="D353" s="67">
        <v>42887</v>
      </c>
      <c r="E353" s="67">
        <v>43190</v>
      </c>
      <c r="F353" s="5">
        <v>39896320.880000003</v>
      </c>
      <c r="G353" s="5">
        <v>49870401.100000001</v>
      </c>
      <c r="H353" s="67">
        <v>43100</v>
      </c>
      <c r="I353" s="55">
        <v>43867046.837499999</v>
      </c>
      <c r="J353" s="1"/>
    </row>
    <row r="354" spans="1:10" ht="24" x14ac:dyDescent="0.25">
      <c r="A354" s="1">
        <v>203</v>
      </c>
      <c r="B354" s="74" t="s">
        <v>187</v>
      </c>
      <c r="C354" s="7" t="str">
        <f>"8/2016-I-U1"</f>
        <v>8/2016-I-U1</v>
      </c>
      <c r="D354" s="67">
        <v>42826</v>
      </c>
      <c r="E354" s="67">
        <v>43191</v>
      </c>
      <c r="F354" s="5">
        <v>489663.4</v>
      </c>
      <c r="G354" s="5">
        <v>612079.25</v>
      </c>
      <c r="H354" s="67">
        <v>42916</v>
      </c>
      <c r="I354" s="55">
        <v>49273.35</v>
      </c>
      <c r="J354" s="1"/>
    </row>
    <row r="355" spans="1:10" ht="36" x14ac:dyDescent="0.25">
      <c r="A355" s="1">
        <v>204</v>
      </c>
      <c r="B355" s="74" t="s">
        <v>694</v>
      </c>
      <c r="C355" s="7" t="str">
        <f>"INA-UG-00236/17"</f>
        <v>INA-UG-00236/17</v>
      </c>
      <c r="D355" s="67">
        <v>42826</v>
      </c>
      <c r="E355" s="67">
        <v>43190</v>
      </c>
      <c r="F355" s="5">
        <v>29600</v>
      </c>
      <c r="G355" s="5">
        <v>29625</v>
      </c>
      <c r="H355" s="67">
        <v>43100</v>
      </c>
      <c r="I355" s="55">
        <v>28827.962499999998</v>
      </c>
      <c r="J355" s="1"/>
    </row>
    <row r="356" spans="1:10" ht="24" x14ac:dyDescent="0.25">
      <c r="A356" s="1">
        <v>205</v>
      </c>
      <c r="B356" s="74" t="s">
        <v>695</v>
      </c>
      <c r="C356" s="7" t="str">
        <f>"INA-UG-00226/17"</f>
        <v>INA-UG-00226/17</v>
      </c>
      <c r="D356" s="67">
        <v>42825</v>
      </c>
      <c r="E356" s="67">
        <v>43555</v>
      </c>
      <c r="F356" s="5">
        <v>17634.5</v>
      </c>
      <c r="G356" s="5">
        <v>22043.13</v>
      </c>
      <c r="H356" s="67">
        <v>43100</v>
      </c>
      <c r="I356" s="55">
        <v>3327.1</v>
      </c>
      <c r="J356" s="1"/>
    </row>
    <row r="357" spans="1:10" ht="24" x14ac:dyDescent="0.25">
      <c r="A357" s="1">
        <v>206</v>
      </c>
      <c r="B357" s="74" t="s">
        <v>696</v>
      </c>
      <c r="C357" s="7" t="str">
        <f>"INA-UG-00166/17"</f>
        <v>INA-UG-00166/17</v>
      </c>
      <c r="D357" s="67">
        <v>42846</v>
      </c>
      <c r="E357" s="67">
        <v>43555</v>
      </c>
      <c r="F357" s="5">
        <v>26771.4</v>
      </c>
      <c r="G357" s="5">
        <v>33464.25</v>
      </c>
      <c r="H357" s="67">
        <v>43100</v>
      </c>
      <c r="I357" s="55">
        <v>12261.199999999999</v>
      </c>
      <c r="J357" s="1"/>
    </row>
    <row r="358" spans="1:10" ht="24" x14ac:dyDescent="0.25">
      <c r="A358" s="1">
        <v>207</v>
      </c>
      <c r="B358" s="74" t="s">
        <v>541</v>
      </c>
      <c r="C358" s="7" t="str">
        <f>"2137-78-17/75"</f>
        <v>2137-78-17/75</v>
      </c>
      <c r="D358" s="67">
        <v>42826</v>
      </c>
      <c r="E358" s="67">
        <v>43555</v>
      </c>
      <c r="F358" s="5">
        <v>30344</v>
      </c>
      <c r="G358" s="5">
        <v>37930</v>
      </c>
      <c r="H358" s="67">
        <v>43100</v>
      </c>
      <c r="I358" s="55">
        <v>15605.137500000001</v>
      </c>
      <c r="J358" s="1"/>
    </row>
    <row r="359" spans="1:10" ht="24" x14ac:dyDescent="0.25">
      <c r="A359" s="1">
        <v>208</v>
      </c>
      <c r="B359" s="74" t="s">
        <v>16</v>
      </c>
      <c r="C359" s="7" t="str">
        <f>"INA-UG-00177/17"</f>
        <v>INA-UG-00177/17</v>
      </c>
      <c r="D359" s="67">
        <v>42846</v>
      </c>
      <c r="E359" s="67">
        <v>43190</v>
      </c>
      <c r="F359" s="5">
        <v>105307.8</v>
      </c>
      <c r="G359" s="5">
        <v>131634.75</v>
      </c>
      <c r="H359" s="67">
        <v>43100</v>
      </c>
      <c r="I359" s="55">
        <v>87056.900000000009</v>
      </c>
      <c r="J359" s="1"/>
    </row>
    <row r="360" spans="1:10" ht="24" x14ac:dyDescent="0.25">
      <c r="A360" s="1">
        <v>209</v>
      </c>
      <c r="B360" s="74" t="s">
        <v>697</v>
      </c>
      <c r="C360" s="7" t="str">
        <f>"41-SU-166/2017-6"</f>
        <v>41-SU-166/2017-6</v>
      </c>
      <c r="D360" s="67">
        <v>42825</v>
      </c>
      <c r="E360" s="67">
        <v>43555</v>
      </c>
      <c r="F360" s="5">
        <v>18864.599999999999</v>
      </c>
      <c r="G360" s="5">
        <v>23580.75</v>
      </c>
      <c r="H360" s="67">
        <v>43100</v>
      </c>
      <c r="I360" s="55">
        <v>11874.012499999999</v>
      </c>
      <c r="J360" s="1"/>
    </row>
    <row r="361" spans="1:10" ht="24" x14ac:dyDescent="0.25">
      <c r="A361" s="1">
        <v>210</v>
      </c>
      <c r="B361" s="74" t="s">
        <v>698</v>
      </c>
      <c r="C361" s="7" t="str">
        <f>"INA-UG-00206/17"</f>
        <v>INA-UG-00206/17</v>
      </c>
      <c r="D361" s="67">
        <v>42825</v>
      </c>
      <c r="E361" s="67">
        <v>43555</v>
      </c>
      <c r="F361" s="5">
        <v>28457</v>
      </c>
      <c r="G361" s="5">
        <v>35571.25</v>
      </c>
      <c r="H361" s="67">
        <v>43100</v>
      </c>
      <c r="I361" s="55">
        <v>7989.8</v>
      </c>
      <c r="J361" s="1"/>
    </row>
    <row r="362" spans="1:10" ht="24" x14ac:dyDescent="0.25">
      <c r="A362" s="1">
        <v>211</v>
      </c>
      <c r="B362" s="74" t="s">
        <v>699</v>
      </c>
      <c r="C362" s="7" t="str">
        <f>"INA-UG-00233/17"</f>
        <v>INA-UG-00233/17</v>
      </c>
      <c r="D362" s="67">
        <v>42826</v>
      </c>
      <c r="E362" s="67">
        <v>43555</v>
      </c>
      <c r="F362" s="5">
        <v>124461.36</v>
      </c>
      <c r="G362" s="5">
        <v>155576.70000000001</v>
      </c>
      <c r="H362" s="67">
        <v>43100</v>
      </c>
      <c r="I362" s="55">
        <v>32198.712500000001</v>
      </c>
      <c r="J362" s="1"/>
    </row>
    <row r="363" spans="1:10" ht="24" x14ac:dyDescent="0.25">
      <c r="A363" s="1">
        <v>212</v>
      </c>
      <c r="B363" s="74" t="s">
        <v>522</v>
      </c>
      <c r="C363" s="7" t="str">
        <f>"430-02/17-01/50"</f>
        <v>430-02/17-01/50</v>
      </c>
      <c r="D363" s="67">
        <v>42825</v>
      </c>
      <c r="E363" s="67">
        <v>43555</v>
      </c>
      <c r="F363" s="5">
        <v>83582</v>
      </c>
      <c r="G363" s="5">
        <v>104477.5</v>
      </c>
      <c r="H363" s="67">
        <v>43100</v>
      </c>
      <c r="I363" s="55">
        <v>37080.824999999997</v>
      </c>
      <c r="J363" s="1"/>
    </row>
    <row r="364" spans="1:10" ht="24" x14ac:dyDescent="0.25">
      <c r="A364" s="1">
        <v>213</v>
      </c>
      <c r="B364" s="74" t="s">
        <v>700</v>
      </c>
      <c r="C364" s="7" t="str">
        <f>"HZN-5-10/2017-IBO-1"</f>
        <v>HZN-5-10/2017-IBO-1</v>
      </c>
      <c r="D364" s="67">
        <v>42826</v>
      </c>
      <c r="E364" s="67">
        <v>43555</v>
      </c>
      <c r="F364" s="5">
        <v>9000</v>
      </c>
      <c r="G364" s="5">
        <v>11250</v>
      </c>
      <c r="H364" s="67">
        <v>43100</v>
      </c>
      <c r="I364" s="55">
        <v>1519.0125</v>
      </c>
      <c r="J364" s="1"/>
    </row>
    <row r="365" spans="1:10" ht="24" x14ac:dyDescent="0.25">
      <c r="A365" s="1">
        <v>214</v>
      </c>
      <c r="B365" s="74" t="s">
        <v>701</v>
      </c>
      <c r="C365" s="7" t="str">
        <f>"INA-UG-00293/17"</f>
        <v>INA-UG-00293/17</v>
      </c>
      <c r="D365" s="67">
        <v>42826</v>
      </c>
      <c r="E365" s="67">
        <v>43555</v>
      </c>
      <c r="F365" s="5">
        <v>70581.399999999994</v>
      </c>
      <c r="G365" s="5">
        <v>88226.75</v>
      </c>
      <c r="H365" s="67">
        <v>43100</v>
      </c>
      <c r="I365" s="55">
        <v>17454.787499999999</v>
      </c>
      <c r="J365" s="1"/>
    </row>
    <row r="366" spans="1:10" ht="24" x14ac:dyDescent="0.25">
      <c r="A366" s="1">
        <v>215</v>
      </c>
      <c r="B366" s="74" t="s">
        <v>702</v>
      </c>
      <c r="C366" s="7" t="str">
        <f>"INA-UG 00302/2017"</f>
        <v>INA-UG 00302/2017</v>
      </c>
      <c r="D366" s="67">
        <v>42826</v>
      </c>
      <c r="E366" s="67">
        <v>43555</v>
      </c>
      <c r="F366" s="5">
        <v>22004.880000000001</v>
      </c>
      <c r="G366" s="5">
        <v>27506.1</v>
      </c>
      <c r="H366" s="67">
        <v>43100</v>
      </c>
      <c r="I366" s="55">
        <v>3833.0625</v>
      </c>
      <c r="J366" s="1"/>
    </row>
    <row r="367" spans="1:10" ht="36" x14ac:dyDescent="0.25">
      <c r="A367" s="1">
        <v>216</v>
      </c>
      <c r="B367" s="74" t="s">
        <v>189</v>
      </c>
      <c r="C367" s="7" t="str">
        <f>"02-A-A-0467/17-21"</f>
        <v>02-A-A-0467/17-21</v>
      </c>
      <c r="D367" s="67">
        <v>42852</v>
      </c>
      <c r="E367" s="67">
        <v>43555</v>
      </c>
      <c r="F367" s="5">
        <v>749631</v>
      </c>
      <c r="G367" s="5">
        <v>937038.75</v>
      </c>
      <c r="H367" s="67">
        <v>43100</v>
      </c>
      <c r="I367" s="55">
        <v>215838</v>
      </c>
      <c r="J367" s="1"/>
    </row>
    <row r="368" spans="1:10" ht="24" x14ac:dyDescent="0.25">
      <c r="A368" s="1">
        <v>217</v>
      </c>
      <c r="B368" s="74" t="s">
        <v>202</v>
      </c>
      <c r="C368" s="7" t="str">
        <f>"INA-UG-00205/17"</f>
        <v>INA-UG-00205/17</v>
      </c>
      <c r="D368" s="67">
        <v>42835</v>
      </c>
      <c r="E368" s="67">
        <v>43190</v>
      </c>
      <c r="F368" s="5">
        <v>2232.15</v>
      </c>
      <c r="G368" s="5">
        <v>2790.19</v>
      </c>
      <c r="H368" s="67">
        <v>43100</v>
      </c>
      <c r="I368" s="55">
        <v>2691.9250000000002</v>
      </c>
      <c r="J368" s="1"/>
    </row>
    <row r="369" spans="1:10" x14ac:dyDescent="0.25">
      <c r="A369" s="1">
        <v>218</v>
      </c>
      <c r="B369" s="74" t="s">
        <v>510</v>
      </c>
      <c r="C369" s="7" t="str">
        <f>"00251/17"</f>
        <v>00251/17</v>
      </c>
      <c r="D369" s="67">
        <v>42863</v>
      </c>
      <c r="E369" s="67">
        <v>43555</v>
      </c>
      <c r="F369" s="5">
        <v>138855.41</v>
      </c>
      <c r="G369" s="5">
        <v>173569.26</v>
      </c>
      <c r="H369" s="67">
        <v>43100</v>
      </c>
      <c r="I369" s="55">
        <v>59492.287500000006</v>
      </c>
      <c r="J369" s="1"/>
    </row>
    <row r="370" spans="1:10" ht="24" x14ac:dyDescent="0.25">
      <c r="A370" s="1">
        <v>219</v>
      </c>
      <c r="B370" s="74" t="s">
        <v>203</v>
      </c>
      <c r="C370" s="7" t="str">
        <f>"U-9-MV/17"</f>
        <v>U-9-MV/17</v>
      </c>
      <c r="D370" s="67">
        <v>42826</v>
      </c>
      <c r="E370" s="67">
        <v>43190</v>
      </c>
      <c r="F370" s="5">
        <v>975330</v>
      </c>
      <c r="G370" s="5">
        <v>1219162.5</v>
      </c>
      <c r="H370" s="67">
        <v>43100</v>
      </c>
      <c r="I370" s="55">
        <v>443533.82500000001</v>
      </c>
      <c r="J370" s="1"/>
    </row>
    <row r="371" spans="1:10" x14ac:dyDescent="0.25">
      <c r="A371" s="1">
        <v>220</v>
      </c>
      <c r="B371" s="74" t="s">
        <v>703</v>
      </c>
      <c r="C371" s="7" t="str">
        <f>"8/2016-I SVEST"</f>
        <v>8/2016-I SVEST</v>
      </c>
      <c r="D371" s="67">
        <v>42825</v>
      </c>
      <c r="E371" s="67">
        <v>43190</v>
      </c>
      <c r="F371" s="5">
        <v>11828.8</v>
      </c>
      <c r="G371" s="5">
        <v>14786</v>
      </c>
      <c r="H371" s="67">
        <v>43100</v>
      </c>
      <c r="I371" s="55">
        <v>21497.800000000003</v>
      </c>
      <c r="J371" s="1"/>
    </row>
    <row r="372" spans="1:10" ht="36" x14ac:dyDescent="0.25">
      <c r="A372" s="1">
        <v>221</v>
      </c>
      <c r="B372" s="74" t="s">
        <v>191</v>
      </c>
      <c r="C372" s="7" t="str">
        <f>"MFIN-KLA.406-01/16-01/143,UR11"</f>
        <v>MFIN-KLA.406-01/16-01/143,UR11</v>
      </c>
      <c r="D372" s="67">
        <v>42858</v>
      </c>
      <c r="E372" s="67">
        <v>43191</v>
      </c>
      <c r="F372" s="5">
        <v>224669</v>
      </c>
      <c r="G372" s="5">
        <v>280836.25</v>
      </c>
      <c r="H372" s="67">
        <v>43100</v>
      </c>
      <c r="I372" s="55">
        <v>150171.53750000001</v>
      </c>
      <c r="J372" s="1"/>
    </row>
    <row r="373" spans="1:10" ht="36" x14ac:dyDescent="0.25">
      <c r="A373" s="1">
        <v>222</v>
      </c>
      <c r="B373" s="74" t="s">
        <v>188</v>
      </c>
      <c r="C373" s="7" t="str">
        <f>" INA-UG-00325/17"</f>
        <v xml:space="preserve"> INA-UG-00325/17</v>
      </c>
      <c r="D373" s="67">
        <v>42836</v>
      </c>
      <c r="E373" s="67">
        <v>43100</v>
      </c>
      <c r="F373" s="5">
        <v>46955</v>
      </c>
      <c r="G373" s="5">
        <v>58693.75</v>
      </c>
      <c r="H373" s="67">
        <v>43100</v>
      </c>
      <c r="I373" s="55">
        <v>38544.375</v>
      </c>
      <c r="J373" s="1"/>
    </row>
    <row r="374" spans="1:10" ht="36" x14ac:dyDescent="0.25">
      <c r="A374" s="1">
        <v>223</v>
      </c>
      <c r="B374" s="74" t="s">
        <v>704</v>
      </c>
      <c r="C374" s="7" t="str">
        <f>"00292/17"</f>
        <v>00292/17</v>
      </c>
      <c r="D374" s="67">
        <v>42866</v>
      </c>
      <c r="E374" s="67">
        <v>43190</v>
      </c>
      <c r="F374" s="5">
        <v>6240</v>
      </c>
      <c r="G374" s="5">
        <v>7800</v>
      </c>
      <c r="H374" s="67">
        <v>43100</v>
      </c>
      <c r="I374" s="55">
        <v>6408.9375</v>
      </c>
      <c r="J374" s="1"/>
    </row>
    <row r="375" spans="1:10" ht="24" x14ac:dyDescent="0.25">
      <c r="A375" s="1">
        <v>224</v>
      </c>
      <c r="B375" s="74" t="s">
        <v>705</v>
      </c>
      <c r="C375" s="7" t="str">
        <f>"17 SU-647-2017"</f>
        <v>17 SU-647-2017</v>
      </c>
      <c r="D375" s="67">
        <v>42929</v>
      </c>
      <c r="E375" s="67">
        <v>43555</v>
      </c>
      <c r="F375" s="5">
        <v>34926.44</v>
      </c>
      <c r="G375" s="5">
        <v>43658.05</v>
      </c>
      <c r="H375" s="67">
        <v>43100</v>
      </c>
      <c r="I375" s="55">
        <v>13533.6875</v>
      </c>
      <c r="J375" s="1"/>
    </row>
    <row r="376" spans="1:10" x14ac:dyDescent="0.25">
      <c r="A376" s="1">
        <v>225</v>
      </c>
      <c r="B376" s="74" t="s">
        <v>706</v>
      </c>
      <c r="C376" s="7" t="str">
        <f>"GRUPA 2,3,4"</f>
        <v>GRUPA 2,3,4</v>
      </c>
      <c r="D376" s="67">
        <v>42826</v>
      </c>
      <c r="E376" s="67">
        <v>43191</v>
      </c>
      <c r="F376" s="5">
        <v>5790.65</v>
      </c>
      <c r="G376" s="5">
        <v>7238.31</v>
      </c>
      <c r="H376" s="67">
        <v>43100</v>
      </c>
      <c r="I376" s="55">
        <v>2226.75</v>
      </c>
      <c r="J376" s="1"/>
    </row>
    <row r="377" spans="1:10" x14ac:dyDescent="0.25">
      <c r="A377" s="1">
        <v>226</v>
      </c>
      <c r="B377" s="74" t="s">
        <v>707</v>
      </c>
      <c r="C377" s="7" t="str">
        <f>"8-2016-I"</f>
        <v>8-2016-I</v>
      </c>
      <c r="D377" s="67">
        <v>42843</v>
      </c>
      <c r="E377" s="67">
        <v>43555</v>
      </c>
      <c r="F377" s="5">
        <v>33711.599999999999</v>
      </c>
      <c r="G377" s="5">
        <v>42139.5</v>
      </c>
      <c r="H377" s="67">
        <v>43100</v>
      </c>
      <c r="I377" s="55">
        <v>7375.5625</v>
      </c>
      <c r="J377" s="1"/>
    </row>
    <row r="378" spans="1:10" ht="36" x14ac:dyDescent="0.25">
      <c r="A378" s="1">
        <v>227</v>
      </c>
      <c r="B378" s="74" t="s">
        <v>708</v>
      </c>
      <c r="C378" s="7" t="str">
        <f>"00154/17"</f>
        <v>00154/17</v>
      </c>
      <c r="D378" s="67">
        <v>42825</v>
      </c>
      <c r="E378" s="67">
        <v>43190</v>
      </c>
      <c r="F378" s="5">
        <v>69000</v>
      </c>
      <c r="G378" s="5">
        <v>86250</v>
      </c>
      <c r="H378" s="67">
        <v>43100</v>
      </c>
      <c r="I378" s="55">
        <v>83766.162499999991</v>
      </c>
      <c r="J378" s="1"/>
    </row>
    <row r="379" spans="1:10" x14ac:dyDescent="0.25">
      <c r="A379" s="1">
        <v>228</v>
      </c>
      <c r="B379" s="74" t="s">
        <v>709</v>
      </c>
      <c r="C379" s="7" t="str">
        <f>"UG-00136/17"</f>
        <v>UG-00136/17</v>
      </c>
      <c r="D379" s="67">
        <v>42845</v>
      </c>
      <c r="E379" s="67">
        <v>43555</v>
      </c>
      <c r="F379" s="5">
        <v>52013</v>
      </c>
      <c r="G379" s="5">
        <v>65016.25</v>
      </c>
      <c r="H379" s="67">
        <v>43100</v>
      </c>
      <c r="I379" s="55">
        <v>13177.1875</v>
      </c>
      <c r="J379" s="1"/>
    </row>
    <row r="380" spans="1:10" x14ac:dyDescent="0.25">
      <c r="A380" s="1">
        <v>229</v>
      </c>
      <c r="B380" s="74" t="s">
        <v>710</v>
      </c>
      <c r="C380" s="7" t="str">
        <f>"41 SU-66/2017"</f>
        <v>41 SU-66/2017</v>
      </c>
      <c r="D380" s="67">
        <v>42831</v>
      </c>
      <c r="E380" s="67">
        <v>43555</v>
      </c>
      <c r="F380" s="5">
        <v>17101.599999999999</v>
      </c>
      <c r="G380" s="5">
        <v>21377</v>
      </c>
      <c r="H380" s="67">
        <v>43100</v>
      </c>
      <c r="I380" s="55">
        <v>3430.2249999999999</v>
      </c>
      <c r="J380" s="1"/>
    </row>
    <row r="381" spans="1:10" ht="36" x14ac:dyDescent="0.25">
      <c r="A381" s="1">
        <v>230</v>
      </c>
      <c r="B381" s="74" t="s">
        <v>711</v>
      </c>
      <c r="C381" s="7" t="str">
        <f>"INA-UG-00190/17"</f>
        <v>INA-UG-00190/17</v>
      </c>
      <c r="D381" s="67">
        <v>42835</v>
      </c>
      <c r="E381" s="67">
        <v>43555</v>
      </c>
      <c r="F381" s="5">
        <v>25544.7</v>
      </c>
      <c r="G381" s="5">
        <v>31930.880000000001</v>
      </c>
      <c r="H381" s="67">
        <v>43100</v>
      </c>
      <c r="I381" s="55">
        <v>15204.5625</v>
      </c>
      <c r="J381" s="1"/>
    </row>
    <row r="382" spans="1:10" ht="36" x14ac:dyDescent="0.25">
      <c r="A382" s="1">
        <v>231</v>
      </c>
      <c r="B382" s="74" t="s">
        <v>712</v>
      </c>
      <c r="C382" s="7" t="str">
        <f>"INA-UG-00201/17"</f>
        <v>INA-UG-00201/17</v>
      </c>
      <c r="D382" s="67">
        <v>42849</v>
      </c>
      <c r="E382" s="67">
        <v>43555</v>
      </c>
      <c r="F382" s="5">
        <v>24428.6</v>
      </c>
      <c r="G382" s="5">
        <v>30535.75</v>
      </c>
      <c r="H382" s="67">
        <v>43100</v>
      </c>
      <c r="I382" s="55">
        <v>8096.7749999999996</v>
      </c>
      <c r="J382" s="1"/>
    </row>
    <row r="383" spans="1:10" ht="24" x14ac:dyDescent="0.25">
      <c r="A383" s="1">
        <v>232</v>
      </c>
      <c r="B383" s="74" t="s">
        <v>713</v>
      </c>
      <c r="C383" s="7" t="str">
        <f>"INA-UG-00164/17"</f>
        <v>INA-UG-00164/17</v>
      </c>
      <c r="D383" s="67">
        <v>42826</v>
      </c>
      <c r="E383" s="67">
        <v>43190</v>
      </c>
      <c r="F383" s="5">
        <v>43427</v>
      </c>
      <c r="G383" s="5">
        <v>54283.75</v>
      </c>
      <c r="H383" s="67">
        <v>43100</v>
      </c>
      <c r="I383" s="55">
        <v>23276.25</v>
      </c>
      <c r="J383" s="1"/>
    </row>
    <row r="384" spans="1:10" x14ac:dyDescent="0.25">
      <c r="A384" s="1">
        <v>233</v>
      </c>
      <c r="B384" s="74" t="s">
        <v>714</v>
      </c>
      <c r="C384" s="7" t="str">
        <f>"17 SU-128/17"</f>
        <v>17 SU-128/17</v>
      </c>
      <c r="D384" s="67">
        <v>42830</v>
      </c>
      <c r="E384" s="67">
        <v>43190</v>
      </c>
      <c r="F384" s="5">
        <v>14848.4</v>
      </c>
      <c r="G384" s="5">
        <v>18560.5</v>
      </c>
      <c r="H384" s="67">
        <v>43100</v>
      </c>
      <c r="I384" s="55">
        <v>6436.6375000000007</v>
      </c>
      <c r="J384" s="1"/>
    </row>
    <row r="385" spans="1:10" x14ac:dyDescent="0.25">
      <c r="A385" s="1">
        <v>234</v>
      </c>
      <c r="B385" s="74" t="s">
        <v>715</v>
      </c>
      <c r="C385" s="7" t="str">
        <f>"485/16"</f>
        <v>485/16</v>
      </c>
      <c r="D385" s="67">
        <v>42849</v>
      </c>
      <c r="E385" s="67">
        <v>43555</v>
      </c>
      <c r="F385" s="5">
        <v>7577</v>
      </c>
      <c r="G385" s="5">
        <v>9471.25</v>
      </c>
      <c r="H385" s="67">
        <v>43100</v>
      </c>
      <c r="I385" s="55">
        <v>4671.1499999999996</v>
      </c>
      <c r="J385" s="1"/>
    </row>
    <row r="386" spans="1:10" x14ac:dyDescent="0.25">
      <c r="A386" s="1">
        <v>235</v>
      </c>
      <c r="B386" s="74" t="s">
        <v>542</v>
      </c>
      <c r="C386" s="7" t="str">
        <f>"RA-17-03/10"</f>
        <v>RA-17-03/10</v>
      </c>
      <c r="D386" s="67">
        <v>42825</v>
      </c>
      <c r="E386" s="67">
        <v>43190</v>
      </c>
      <c r="F386" s="5">
        <v>321893</v>
      </c>
      <c r="G386" s="5">
        <v>402366.25</v>
      </c>
      <c r="H386" s="67">
        <v>43100</v>
      </c>
      <c r="I386" s="55">
        <v>102441.8</v>
      </c>
      <c r="J386" s="1"/>
    </row>
    <row r="387" spans="1:10" ht="36" x14ac:dyDescent="0.25">
      <c r="A387" s="1">
        <v>236</v>
      </c>
      <c r="B387" s="74" t="s">
        <v>716</v>
      </c>
      <c r="C387" s="7" t="str">
        <f>"INA-UG-00202/17"</f>
        <v>INA-UG-00202/17</v>
      </c>
      <c r="D387" s="67">
        <v>42826</v>
      </c>
      <c r="E387" s="67">
        <v>43555</v>
      </c>
      <c r="F387" s="5">
        <v>83508</v>
      </c>
      <c r="G387" s="5">
        <v>104385</v>
      </c>
      <c r="H387" s="67">
        <v>43100</v>
      </c>
      <c r="I387" s="55">
        <v>14574.7875</v>
      </c>
      <c r="J387" s="1"/>
    </row>
    <row r="388" spans="1:10" ht="24" x14ac:dyDescent="0.25">
      <c r="A388" s="1">
        <v>237</v>
      </c>
      <c r="B388" s="74" t="s">
        <v>717</v>
      </c>
      <c r="C388" s="7" t="str">
        <f>"INA-UG-00194/17"</f>
        <v>INA-UG-00194/17</v>
      </c>
      <c r="D388" s="67">
        <v>42850</v>
      </c>
      <c r="E388" s="67">
        <v>43190</v>
      </c>
      <c r="F388" s="5">
        <v>17146.8</v>
      </c>
      <c r="G388" s="5">
        <v>21433.5</v>
      </c>
      <c r="H388" s="67">
        <v>43100</v>
      </c>
      <c r="I388" s="55">
        <v>10442.5</v>
      </c>
      <c r="J388" s="1"/>
    </row>
    <row r="389" spans="1:10" ht="24" x14ac:dyDescent="0.25">
      <c r="A389" s="1">
        <v>238</v>
      </c>
      <c r="B389" s="74" t="s">
        <v>718</v>
      </c>
      <c r="C389" s="7" t="str">
        <f>"INA-UG-00168/17"</f>
        <v>INA-UG-00168/17</v>
      </c>
      <c r="D389" s="67">
        <v>42825</v>
      </c>
      <c r="E389" s="67">
        <v>43555</v>
      </c>
      <c r="F389" s="5">
        <v>22652</v>
      </c>
      <c r="G389" s="5">
        <v>28315</v>
      </c>
      <c r="H389" s="67">
        <v>43100</v>
      </c>
      <c r="I389" s="55">
        <v>10736.900000000001</v>
      </c>
      <c r="J389" s="1"/>
    </row>
    <row r="390" spans="1:10" ht="24" x14ac:dyDescent="0.25">
      <c r="A390" s="1">
        <v>239</v>
      </c>
      <c r="B390" s="74" t="s">
        <v>719</v>
      </c>
      <c r="C390" s="7" t="str">
        <f>"406-01/17-01/0002"</f>
        <v>406-01/17-01/0002</v>
      </c>
      <c r="D390" s="67">
        <v>42826</v>
      </c>
      <c r="E390" s="67">
        <v>43555</v>
      </c>
      <c r="F390" s="5">
        <v>24000</v>
      </c>
      <c r="G390" s="5">
        <v>30000</v>
      </c>
      <c r="H390" s="67">
        <v>43100</v>
      </c>
      <c r="I390" s="55">
        <v>13879.674999999999</v>
      </c>
      <c r="J390" s="1"/>
    </row>
    <row r="391" spans="1:10" ht="24" x14ac:dyDescent="0.25">
      <c r="A391" s="1">
        <v>240</v>
      </c>
      <c r="B391" s="74" t="s">
        <v>720</v>
      </c>
      <c r="C391" s="7" t="str">
        <f>"KLASA:UP/I-030-01/17-02-4"</f>
        <v>KLASA:UP/I-030-01/17-02-4</v>
      </c>
      <c r="D391" s="67">
        <v>42836</v>
      </c>
      <c r="E391" s="67">
        <v>43190</v>
      </c>
      <c r="F391" s="5">
        <v>22393.48</v>
      </c>
      <c r="G391" s="5">
        <v>27991.85</v>
      </c>
      <c r="H391" s="67">
        <v>43100</v>
      </c>
      <c r="I391" s="55">
        <v>13215.762500000001</v>
      </c>
      <c r="J391" s="1"/>
    </row>
    <row r="392" spans="1:10" ht="24" x14ac:dyDescent="0.25">
      <c r="A392" s="1">
        <v>241</v>
      </c>
      <c r="B392" s="74" t="s">
        <v>489</v>
      </c>
      <c r="C392" s="7" t="str">
        <f>"INA-UG-00169/17"</f>
        <v>INA-UG-00169/17</v>
      </c>
      <c r="D392" s="67">
        <v>42830</v>
      </c>
      <c r="E392" s="67">
        <v>43555</v>
      </c>
      <c r="F392" s="5">
        <v>131735.9</v>
      </c>
      <c r="G392" s="5">
        <v>164669.88</v>
      </c>
      <c r="H392" s="67">
        <v>43100</v>
      </c>
      <c r="I392" s="55">
        <v>33408.724999999999</v>
      </c>
      <c r="J392" s="1"/>
    </row>
    <row r="393" spans="1:10" ht="24" x14ac:dyDescent="0.25">
      <c r="A393" s="1">
        <v>242</v>
      </c>
      <c r="B393" s="74" t="s">
        <v>721</v>
      </c>
      <c r="C393" s="7" t="str">
        <f>"INA-UG-00150/17"</f>
        <v>INA-UG-00150/17</v>
      </c>
      <c r="D393" s="67">
        <v>42837</v>
      </c>
      <c r="E393" s="67">
        <v>43555</v>
      </c>
      <c r="F393" s="5">
        <v>96000</v>
      </c>
      <c r="G393" s="5">
        <v>120000</v>
      </c>
      <c r="H393" s="67">
        <v>43100</v>
      </c>
      <c r="I393" s="55">
        <v>33608.225000000006</v>
      </c>
      <c r="J393" s="1"/>
    </row>
    <row r="394" spans="1:10" ht="24" x14ac:dyDescent="0.25">
      <c r="A394" s="1">
        <v>243</v>
      </c>
      <c r="B394" s="74" t="s">
        <v>491</v>
      </c>
      <c r="C394" s="7" t="str">
        <f>"INA-UG-00141/17"</f>
        <v>INA-UG-00141/17</v>
      </c>
      <c r="D394" s="67">
        <v>42825</v>
      </c>
      <c r="E394" s="67">
        <v>43555</v>
      </c>
      <c r="F394" s="5">
        <v>123742.2</v>
      </c>
      <c r="G394" s="5">
        <v>154677.75</v>
      </c>
      <c r="H394" s="67">
        <v>43100</v>
      </c>
      <c r="I394" s="55">
        <v>69696.899999999994</v>
      </c>
      <c r="J394" s="1"/>
    </row>
    <row r="395" spans="1:10" ht="24" x14ac:dyDescent="0.25">
      <c r="A395" s="1">
        <v>244</v>
      </c>
      <c r="B395" s="74" t="s">
        <v>722</v>
      </c>
      <c r="C395" s="7" t="str">
        <f>"406-01/17-01/01"</f>
        <v>406-01/17-01/01</v>
      </c>
      <c r="D395" s="67">
        <v>42846</v>
      </c>
      <c r="E395" s="67">
        <v>43555</v>
      </c>
      <c r="F395" s="5">
        <v>40800</v>
      </c>
      <c r="G395" s="5">
        <v>51000</v>
      </c>
      <c r="H395" s="67">
        <v>43100</v>
      </c>
      <c r="I395" s="55">
        <v>20596.6875</v>
      </c>
      <c r="J395" s="1"/>
    </row>
    <row r="396" spans="1:10" ht="24" x14ac:dyDescent="0.25">
      <c r="A396" s="1">
        <v>245</v>
      </c>
      <c r="B396" s="74" t="s">
        <v>723</v>
      </c>
      <c r="C396" s="7" t="str">
        <f>"INA-UG-00209/17"</f>
        <v>INA-UG-00209/17</v>
      </c>
      <c r="D396" s="67">
        <v>42837</v>
      </c>
      <c r="E396" s="67">
        <v>43555</v>
      </c>
      <c r="F396" s="5">
        <v>43311.4</v>
      </c>
      <c r="G396" s="5">
        <v>54139.25</v>
      </c>
      <c r="H396" s="67">
        <v>43100</v>
      </c>
      <c r="I396" s="55">
        <v>15909.25</v>
      </c>
      <c r="J396" s="1"/>
    </row>
    <row r="397" spans="1:10" ht="24" x14ac:dyDescent="0.25">
      <c r="A397" s="1">
        <v>246</v>
      </c>
      <c r="B397" s="74" t="s">
        <v>724</v>
      </c>
      <c r="C397" s="7" t="str">
        <f>"INA-UG-00161/17"</f>
        <v>INA-UG-00161/17</v>
      </c>
      <c r="D397" s="67">
        <v>42845</v>
      </c>
      <c r="E397" s="67">
        <v>43555</v>
      </c>
      <c r="F397" s="5">
        <v>7841.37</v>
      </c>
      <c r="G397" s="5">
        <v>9801.7099999999991</v>
      </c>
      <c r="H397" s="67">
        <v>43100</v>
      </c>
      <c r="I397" s="55">
        <v>4493.2875000000004</v>
      </c>
      <c r="J397" s="1"/>
    </row>
    <row r="398" spans="1:10" ht="24" x14ac:dyDescent="0.25">
      <c r="A398" s="1">
        <v>247</v>
      </c>
      <c r="B398" s="74" t="s">
        <v>725</v>
      </c>
      <c r="C398" s="7" t="str">
        <f>"INA-UG-00173/17"</f>
        <v>INA-UG-00173/17</v>
      </c>
      <c r="D398" s="67">
        <v>42852</v>
      </c>
      <c r="E398" s="67">
        <v>43555</v>
      </c>
      <c r="F398" s="5">
        <v>108671.2</v>
      </c>
      <c r="G398" s="5">
        <v>135839</v>
      </c>
      <c r="H398" s="67">
        <v>43100</v>
      </c>
      <c r="I398" s="55">
        <v>15382.375</v>
      </c>
      <c r="J398" s="1"/>
    </row>
    <row r="399" spans="1:10" ht="36" x14ac:dyDescent="0.25">
      <c r="A399" s="1">
        <v>248</v>
      </c>
      <c r="B399" s="74" t="s">
        <v>726</v>
      </c>
      <c r="C399" s="7" t="str">
        <f>"INA-UG-00211/17"</f>
        <v>INA-UG-00211/17</v>
      </c>
      <c r="D399" s="67">
        <v>42826</v>
      </c>
      <c r="E399" s="67">
        <v>43555</v>
      </c>
      <c r="F399" s="5">
        <v>17062.3</v>
      </c>
      <c r="G399" s="5">
        <v>21327.88</v>
      </c>
      <c r="H399" s="67">
        <v>43100</v>
      </c>
      <c r="I399" s="55">
        <v>4697.1749999999993</v>
      </c>
      <c r="J399" s="1"/>
    </row>
    <row r="400" spans="1:10" ht="24" x14ac:dyDescent="0.25">
      <c r="A400" s="1">
        <v>249</v>
      </c>
      <c r="B400" s="74" t="s">
        <v>494</v>
      </c>
      <c r="C400" s="7" t="str">
        <f>"UG-00231/17"</f>
        <v>UG-00231/17</v>
      </c>
      <c r="D400" s="67">
        <v>42825</v>
      </c>
      <c r="E400" s="67">
        <v>43190</v>
      </c>
      <c r="F400" s="5">
        <v>32132</v>
      </c>
      <c r="G400" s="5">
        <v>40165</v>
      </c>
      <c r="H400" s="67">
        <v>43100</v>
      </c>
      <c r="I400" s="55">
        <v>26146.325000000001</v>
      </c>
      <c r="J400" s="1"/>
    </row>
    <row r="401" spans="1:10" ht="36" x14ac:dyDescent="0.25">
      <c r="A401" s="1">
        <v>250</v>
      </c>
      <c r="B401" s="74" t="s">
        <v>727</v>
      </c>
      <c r="C401" s="7" t="str">
        <f>"INA-UG-00216/17"</f>
        <v>INA-UG-00216/17</v>
      </c>
      <c r="D401" s="67">
        <v>42826</v>
      </c>
      <c r="E401" s="67">
        <v>43100</v>
      </c>
      <c r="F401" s="5">
        <v>27991.62</v>
      </c>
      <c r="G401" s="5">
        <v>34989.53</v>
      </c>
      <c r="H401" s="67">
        <v>43100</v>
      </c>
      <c r="I401" s="55">
        <v>21083.5625</v>
      </c>
      <c r="J401" s="1"/>
    </row>
    <row r="402" spans="1:10" ht="24" x14ac:dyDescent="0.25">
      <c r="A402" s="1">
        <v>251</v>
      </c>
      <c r="B402" s="74" t="s">
        <v>728</v>
      </c>
      <c r="C402" s="7" t="str">
        <f>"41 SU-355/2017"</f>
        <v>41 SU-355/2017</v>
      </c>
      <c r="D402" s="67">
        <v>42826</v>
      </c>
      <c r="E402" s="67">
        <v>43555</v>
      </c>
      <c r="F402" s="5">
        <v>98155</v>
      </c>
      <c r="G402" s="5">
        <v>98155</v>
      </c>
      <c r="H402" s="67">
        <v>43100</v>
      </c>
      <c r="I402" s="55">
        <v>24505.050000000003</v>
      </c>
      <c r="J402" s="1"/>
    </row>
    <row r="403" spans="1:10" ht="36" x14ac:dyDescent="0.25">
      <c r="A403" s="1">
        <v>252</v>
      </c>
      <c r="B403" s="74" t="s">
        <v>729</v>
      </c>
      <c r="C403" s="7" t="str">
        <f>"INA 19/2017"</f>
        <v>INA 19/2017</v>
      </c>
      <c r="D403" s="67">
        <v>42839</v>
      </c>
      <c r="E403" s="67">
        <v>43190</v>
      </c>
      <c r="F403" s="5">
        <v>19011</v>
      </c>
      <c r="G403" s="5">
        <v>23763.75</v>
      </c>
      <c r="H403" s="67">
        <v>43100</v>
      </c>
      <c r="I403" s="55">
        <v>6946.35</v>
      </c>
      <c r="J403" s="1"/>
    </row>
    <row r="404" spans="1:10" ht="24" x14ac:dyDescent="0.25">
      <c r="A404" s="1">
        <v>253</v>
      </c>
      <c r="B404" s="74" t="s">
        <v>730</v>
      </c>
      <c r="C404" s="7" t="str">
        <f>"INA-UG-00208/17"</f>
        <v>INA-UG-00208/17</v>
      </c>
      <c r="D404" s="67">
        <v>42857</v>
      </c>
      <c r="E404" s="67">
        <v>43555</v>
      </c>
      <c r="F404" s="5">
        <v>15686.8</v>
      </c>
      <c r="G404" s="5">
        <v>19608.5</v>
      </c>
      <c r="H404" s="67">
        <v>43100</v>
      </c>
      <c r="I404" s="55">
        <v>11807.474999999999</v>
      </c>
      <c r="J404" s="1"/>
    </row>
    <row r="405" spans="1:10" ht="24" x14ac:dyDescent="0.25">
      <c r="A405" s="1">
        <v>254</v>
      </c>
      <c r="B405" s="74" t="s">
        <v>731</v>
      </c>
      <c r="C405" s="7" t="str">
        <f>"406-01/17-01/03"</f>
        <v>406-01/17-01/03</v>
      </c>
      <c r="D405" s="67">
        <v>42826</v>
      </c>
      <c r="E405" s="67">
        <v>43555</v>
      </c>
      <c r="F405" s="5">
        <v>16612.2</v>
      </c>
      <c r="G405" s="5">
        <v>20765.25</v>
      </c>
      <c r="H405" s="67">
        <v>43100</v>
      </c>
      <c r="I405" s="55">
        <v>5408.25</v>
      </c>
      <c r="J405" s="1"/>
    </row>
    <row r="406" spans="1:10" ht="24" x14ac:dyDescent="0.25">
      <c r="A406" s="1">
        <v>255</v>
      </c>
      <c r="B406" s="74" t="s">
        <v>732</v>
      </c>
      <c r="C406" s="7" t="str">
        <f>"175/2017 INA D.D."</f>
        <v>175/2017 INA D.D.</v>
      </c>
      <c r="D406" s="67">
        <v>42838</v>
      </c>
      <c r="E406" s="67">
        <v>43555</v>
      </c>
      <c r="F406" s="5">
        <v>30446</v>
      </c>
      <c r="G406" s="5">
        <v>38057.5</v>
      </c>
      <c r="H406" s="67">
        <v>43100</v>
      </c>
      <c r="I406" s="55">
        <v>7644.8874999999998</v>
      </c>
      <c r="J406" s="1"/>
    </row>
    <row r="407" spans="1:10" ht="24" x14ac:dyDescent="0.25">
      <c r="A407" s="1">
        <v>256</v>
      </c>
      <c r="B407" s="74" t="s">
        <v>733</v>
      </c>
      <c r="C407" s="7" t="str">
        <f>"INA-UG-00167/17"</f>
        <v>INA-UG-00167/17</v>
      </c>
      <c r="D407" s="67">
        <v>42851</v>
      </c>
      <c r="E407" s="67">
        <v>43555</v>
      </c>
      <c r="F407" s="5">
        <v>24915.25</v>
      </c>
      <c r="G407" s="5">
        <v>31144.06</v>
      </c>
      <c r="H407" s="67">
        <v>43100</v>
      </c>
      <c r="I407" s="55">
        <v>7772.6</v>
      </c>
      <c r="J407" s="1"/>
    </row>
    <row r="408" spans="1:10" ht="24" x14ac:dyDescent="0.25">
      <c r="A408" s="1">
        <v>257</v>
      </c>
      <c r="B408" s="74" t="s">
        <v>734</v>
      </c>
      <c r="C408" s="7" t="str">
        <f>"KLASA:400-01/17-05/6"</f>
        <v>KLASA:400-01/17-05/6</v>
      </c>
      <c r="D408" s="67">
        <v>42826</v>
      </c>
      <c r="E408" s="67">
        <v>43190</v>
      </c>
      <c r="F408" s="5">
        <v>29534.1</v>
      </c>
      <c r="G408" s="5">
        <v>36917.629999999997</v>
      </c>
      <c r="H408" s="67">
        <v>43100</v>
      </c>
      <c r="I408" s="55">
        <v>17484.825000000001</v>
      </c>
      <c r="J408" s="1"/>
    </row>
    <row r="409" spans="1:10" ht="24" x14ac:dyDescent="0.25">
      <c r="A409" s="1">
        <v>258</v>
      </c>
      <c r="B409" s="74" t="s">
        <v>735</v>
      </c>
      <c r="C409" s="7" t="str">
        <f>"INA-UG-00232/17"</f>
        <v>INA-UG-00232/17</v>
      </c>
      <c r="D409" s="67">
        <v>42826</v>
      </c>
      <c r="E409" s="67">
        <v>43555</v>
      </c>
      <c r="F409" s="5">
        <v>41417</v>
      </c>
      <c r="G409" s="5">
        <v>51771.25</v>
      </c>
      <c r="H409" s="67">
        <v>43100</v>
      </c>
      <c r="I409" s="55">
        <v>13330.5375</v>
      </c>
      <c r="J409" s="1"/>
    </row>
    <row r="410" spans="1:10" ht="36" x14ac:dyDescent="0.25">
      <c r="A410" s="1">
        <v>259</v>
      </c>
      <c r="B410" s="74" t="s">
        <v>736</v>
      </c>
      <c r="C410" s="7" t="str">
        <f>"A-19/2017 (INA-UG-00222/17)"</f>
        <v>A-19/2017 (INA-UG-00222/17)</v>
      </c>
      <c r="D410" s="67">
        <v>42851</v>
      </c>
      <c r="E410" s="67">
        <v>43555</v>
      </c>
      <c r="F410" s="5">
        <v>35416.400000000001</v>
      </c>
      <c r="G410" s="5">
        <v>44270.5</v>
      </c>
      <c r="H410" s="67">
        <v>43100</v>
      </c>
      <c r="I410" s="55">
        <v>12756.424999999999</v>
      </c>
      <c r="J410" s="1"/>
    </row>
    <row r="411" spans="1:10" x14ac:dyDescent="0.25">
      <c r="A411" s="1">
        <v>260</v>
      </c>
      <c r="B411" s="74" t="s">
        <v>737</v>
      </c>
      <c r="C411" s="7" t="str">
        <f>"8/2016-I-1"</f>
        <v>8/2016-I-1</v>
      </c>
      <c r="D411" s="67">
        <v>42849</v>
      </c>
      <c r="E411" s="67">
        <v>43556</v>
      </c>
      <c r="F411" s="5">
        <v>534398</v>
      </c>
      <c r="G411" s="5">
        <v>667997.5</v>
      </c>
      <c r="H411" s="67">
        <v>43100</v>
      </c>
      <c r="I411" s="55">
        <v>558767.6</v>
      </c>
      <c r="J411" s="1"/>
    </row>
    <row r="412" spans="1:10" ht="24" x14ac:dyDescent="0.25">
      <c r="A412" s="1">
        <v>261</v>
      </c>
      <c r="B412" s="74" t="s">
        <v>738</v>
      </c>
      <c r="C412" s="7" t="str">
        <f>"INA-UG-00172/17"</f>
        <v>INA-UG-00172/17</v>
      </c>
      <c r="D412" s="67">
        <v>42858</v>
      </c>
      <c r="E412" s="67">
        <v>43555</v>
      </c>
      <c r="F412" s="5">
        <v>40402.300000000003</v>
      </c>
      <c r="G412" s="5">
        <v>50502.87</v>
      </c>
      <c r="H412" s="67">
        <v>43100</v>
      </c>
      <c r="I412" s="55">
        <v>20363.787500000002</v>
      </c>
      <c r="J412" s="1"/>
    </row>
    <row r="413" spans="1:10" ht="24" x14ac:dyDescent="0.25">
      <c r="A413" s="1">
        <v>262</v>
      </c>
      <c r="B413" s="74" t="s">
        <v>206</v>
      </c>
      <c r="C413" s="7" t="str">
        <f>"GORIVO GRUPA 2,3,4"</f>
        <v>GORIVO GRUPA 2,3,4</v>
      </c>
      <c r="D413" s="67">
        <v>42849</v>
      </c>
      <c r="E413" s="67">
        <v>43555</v>
      </c>
      <c r="F413" s="5">
        <v>400056.28</v>
      </c>
      <c r="G413" s="5">
        <v>500070.35</v>
      </c>
      <c r="H413" s="67">
        <v>43100</v>
      </c>
      <c r="I413" s="55">
        <v>151731.6</v>
      </c>
      <c r="J413" s="1"/>
    </row>
    <row r="414" spans="1:10" ht="24" x14ac:dyDescent="0.25">
      <c r="A414" s="1">
        <v>263</v>
      </c>
      <c r="B414" s="74" t="s">
        <v>498</v>
      </c>
      <c r="C414" s="7" t="str">
        <f>"INA-UG-00197/17"</f>
        <v>INA-UG-00197/17</v>
      </c>
      <c r="D414" s="67">
        <v>42850</v>
      </c>
      <c r="E414" s="67">
        <v>43190</v>
      </c>
      <c r="F414" s="5">
        <v>52175</v>
      </c>
      <c r="G414" s="5">
        <v>65218.75</v>
      </c>
      <c r="H414" s="67">
        <v>43100</v>
      </c>
      <c r="I414" s="55">
        <v>38673.087500000001</v>
      </c>
      <c r="J414" s="1"/>
    </row>
    <row r="415" spans="1:10" ht="24" x14ac:dyDescent="0.25">
      <c r="A415" s="1">
        <v>264</v>
      </c>
      <c r="B415" s="74" t="s">
        <v>499</v>
      </c>
      <c r="C415" s="7" t="str">
        <f>"INA-UG-00196/17"</f>
        <v>INA-UG-00196/17</v>
      </c>
      <c r="D415" s="67">
        <v>42850</v>
      </c>
      <c r="E415" s="67">
        <v>43190</v>
      </c>
      <c r="F415" s="5">
        <v>52416.3</v>
      </c>
      <c r="G415" s="5">
        <v>65520.38</v>
      </c>
      <c r="H415" s="67">
        <v>43100</v>
      </c>
      <c r="I415" s="55">
        <v>33334.487500000003</v>
      </c>
      <c r="J415" s="1"/>
    </row>
    <row r="416" spans="1:10" ht="24" x14ac:dyDescent="0.25">
      <c r="A416" s="1">
        <v>265</v>
      </c>
      <c r="B416" s="74" t="s">
        <v>739</v>
      </c>
      <c r="C416" s="7" t="str">
        <f>"INA-UG-00313/17"</f>
        <v>INA-UG-00313/17</v>
      </c>
      <c r="D416" s="67">
        <v>42860</v>
      </c>
      <c r="E416" s="67">
        <v>43190</v>
      </c>
      <c r="F416" s="5">
        <v>24000</v>
      </c>
      <c r="G416" s="5">
        <v>30000</v>
      </c>
      <c r="H416" s="67">
        <v>43100</v>
      </c>
      <c r="I416" s="55">
        <v>12775.550000000001</v>
      </c>
      <c r="J416" s="1"/>
    </row>
    <row r="417" spans="1:10" ht="24" x14ac:dyDescent="0.25">
      <c r="A417" s="1">
        <v>266</v>
      </c>
      <c r="B417" s="74" t="s">
        <v>497</v>
      </c>
      <c r="C417" s="7" t="str">
        <f>"17 SU-205/2017"</f>
        <v>17 SU-205/2017</v>
      </c>
      <c r="D417" s="67">
        <v>42857</v>
      </c>
      <c r="E417" s="67">
        <v>43555</v>
      </c>
      <c r="F417" s="5">
        <v>27275.040000000001</v>
      </c>
      <c r="G417" s="5">
        <v>34093.800000000003</v>
      </c>
      <c r="H417" s="67">
        <v>43100</v>
      </c>
      <c r="I417" s="55">
        <v>10729.275</v>
      </c>
      <c r="J417" s="1"/>
    </row>
    <row r="418" spans="1:10" ht="24" x14ac:dyDescent="0.25">
      <c r="A418" s="1">
        <v>267</v>
      </c>
      <c r="B418" s="74" t="s">
        <v>740</v>
      </c>
      <c r="C418" s="7" t="str">
        <f>"06/2017"</f>
        <v>06/2017</v>
      </c>
      <c r="D418" s="67">
        <v>42826</v>
      </c>
      <c r="E418" s="67">
        <v>43190</v>
      </c>
      <c r="F418" s="5">
        <v>17590.150000000001</v>
      </c>
      <c r="G418" s="5">
        <v>21987.69</v>
      </c>
      <c r="H418" s="67">
        <v>43100</v>
      </c>
      <c r="I418" s="55">
        <v>17454.9375</v>
      </c>
      <c r="J418" s="1"/>
    </row>
    <row r="419" spans="1:10" ht="36" x14ac:dyDescent="0.25">
      <c r="A419" s="1">
        <v>268</v>
      </c>
      <c r="B419" s="74" t="s">
        <v>741</v>
      </c>
      <c r="C419" s="7" t="str">
        <f>"INA-UG-00137/17"</f>
        <v>INA-UG-00137/17</v>
      </c>
      <c r="D419" s="67">
        <v>42860</v>
      </c>
      <c r="E419" s="67">
        <v>43100</v>
      </c>
      <c r="F419" s="5">
        <v>38000</v>
      </c>
      <c r="G419" s="5">
        <v>47500</v>
      </c>
      <c r="H419" s="67">
        <v>43100</v>
      </c>
      <c r="I419" s="55">
        <v>28376.387500000001</v>
      </c>
      <c r="J419" s="1"/>
    </row>
    <row r="420" spans="1:10" ht="24" x14ac:dyDescent="0.25">
      <c r="A420" s="1">
        <v>269</v>
      </c>
      <c r="B420" s="74" t="s">
        <v>482</v>
      </c>
      <c r="C420" s="7" t="str">
        <f>"41 SU-1013/17"</f>
        <v>41 SU-1013/17</v>
      </c>
      <c r="D420" s="67">
        <v>42857</v>
      </c>
      <c r="E420" s="67">
        <v>43190</v>
      </c>
      <c r="F420" s="5">
        <v>55000</v>
      </c>
      <c r="G420" s="5">
        <v>68750</v>
      </c>
      <c r="H420" s="67">
        <v>43100</v>
      </c>
      <c r="I420" s="55">
        <v>52312.125</v>
      </c>
      <c r="J420" s="1"/>
    </row>
    <row r="421" spans="1:10" ht="36" x14ac:dyDescent="0.25">
      <c r="A421" s="1">
        <v>270</v>
      </c>
      <c r="B421" s="74" t="s">
        <v>742</v>
      </c>
      <c r="C421" s="7" t="str">
        <f>"INA-UG-00277/17; A-63/14"</f>
        <v>INA-UG-00277/17; A-63/14</v>
      </c>
      <c r="D421" s="67">
        <v>42851</v>
      </c>
      <c r="E421" s="67">
        <v>43555</v>
      </c>
      <c r="F421" s="5">
        <v>228742</v>
      </c>
      <c r="G421" s="5">
        <v>285927.5</v>
      </c>
      <c r="H421" s="67">
        <v>43100</v>
      </c>
      <c r="I421" s="55">
        <v>122268.01250000001</v>
      </c>
      <c r="J421" s="1"/>
    </row>
    <row r="422" spans="1:10" ht="36" x14ac:dyDescent="0.25">
      <c r="A422" s="1">
        <v>271</v>
      </c>
      <c r="B422" s="74" t="s">
        <v>743</v>
      </c>
      <c r="C422" s="7" t="str">
        <f>"UGOVOR O NABAVI GORIVA  2,3,4"</f>
        <v>UGOVOR O NABAVI GORIVA  2,3,4</v>
      </c>
      <c r="D422" s="67">
        <v>42863</v>
      </c>
      <c r="E422" s="67">
        <v>43190</v>
      </c>
      <c r="F422" s="5">
        <v>14400</v>
      </c>
      <c r="G422" s="5">
        <v>18000</v>
      </c>
      <c r="H422" s="67">
        <v>43100</v>
      </c>
      <c r="I422" s="55">
        <v>9100.25</v>
      </c>
      <c r="J422" s="1"/>
    </row>
    <row r="423" spans="1:10" ht="24" x14ac:dyDescent="0.25">
      <c r="A423" s="1">
        <v>272</v>
      </c>
      <c r="B423" s="74" t="s">
        <v>744</v>
      </c>
      <c r="C423" s="7" t="str">
        <f>"DAVT-406-01/17-01/01"</f>
        <v>DAVT-406-01/17-01/01</v>
      </c>
      <c r="D423" s="67">
        <v>42860</v>
      </c>
      <c r="E423" s="67">
        <v>43190</v>
      </c>
      <c r="F423" s="5">
        <v>5574.2</v>
      </c>
      <c r="G423" s="5">
        <v>6967.75</v>
      </c>
      <c r="H423" s="67">
        <v>43100</v>
      </c>
      <c r="I423" s="55">
        <v>2916.6125000000002</v>
      </c>
      <c r="J423" s="1"/>
    </row>
    <row r="424" spans="1:10" ht="24" x14ac:dyDescent="0.25">
      <c r="A424" s="1">
        <v>273</v>
      </c>
      <c r="B424" s="74" t="s">
        <v>745</v>
      </c>
      <c r="C424" s="7" t="str">
        <f>"INA-UG-00199/17"</f>
        <v>INA-UG-00199/17</v>
      </c>
      <c r="D424" s="67">
        <v>42825</v>
      </c>
      <c r="E424" s="67">
        <v>43190</v>
      </c>
      <c r="F424" s="5">
        <v>12362</v>
      </c>
      <c r="G424" s="5">
        <v>15452.5</v>
      </c>
      <c r="H424" s="67">
        <v>43100</v>
      </c>
      <c r="I424" s="55">
        <v>28508.912500000002</v>
      </c>
      <c r="J424" s="1"/>
    </row>
    <row r="425" spans="1:10" ht="24" x14ac:dyDescent="0.25">
      <c r="A425" s="1">
        <v>274</v>
      </c>
      <c r="B425" s="74" t="s">
        <v>504</v>
      </c>
      <c r="C425" s="7" t="str">
        <f>"INA-UG-00140/17"</f>
        <v>INA-UG-00140/17</v>
      </c>
      <c r="D425" s="67">
        <v>42830</v>
      </c>
      <c r="E425" s="67">
        <v>43190</v>
      </c>
      <c r="F425" s="5">
        <v>109222.2</v>
      </c>
      <c r="G425" s="5">
        <v>136527.75</v>
      </c>
      <c r="H425" s="67">
        <v>43100</v>
      </c>
      <c r="I425" s="55">
        <v>48624.674999999996</v>
      </c>
      <c r="J425" s="1"/>
    </row>
    <row r="426" spans="1:10" ht="15" customHeight="1" x14ac:dyDescent="0.25">
      <c r="A426" s="1">
        <v>275</v>
      </c>
      <c r="B426" s="196" t="s">
        <v>501</v>
      </c>
      <c r="C426" s="197" t="str">
        <f>"8/2016"</f>
        <v>8/2016</v>
      </c>
      <c r="D426" s="195">
        <v>42835</v>
      </c>
      <c r="E426" s="195">
        <v>43190</v>
      </c>
      <c r="F426" s="194">
        <v>227717.36</v>
      </c>
      <c r="G426" s="194">
        <v>284646.7</v>
      </c>
      <c r="H426" s="195">
        <v>43100</v>
      </c>
      <c r="I426" s="55">
        <v>151745.08750000002</v>
      </c>
      <c r="J426" s="1"/>
    </row>
    <row r="427" spans="1:10" ht="15" customHeight="1" x14ac:dyDescent="0.25">
      <c r="A427" s="1">
        <v>276</v>
      </c>
      <c r="B427" s="196"/>
      <c r="C427" s="197"/>
      <c r="D427" s="195"/>
      <c r="E427" s="195"/>
      <c r="F427" s="194"/>
      <c r="G427" s="194"/>
      <c r="H427" s="195"/>
      <c r="I427" s="55">
        <v>0</v>
      </c>
      <c r="J427" s="1"/>
    </row>
    <row r="428" spans="1:10" x14ac:dyDescent="0.25">
      <c r="A428" s="1">
        <v>277</v>
      </c>
      <c r="B428" s="74" t="s">
        <v>746</v>
      </c>
      <c r="C428" s="7" t="str">
        <f>"41 SU-662/16"</f>
        <v>41 SU-662/16</v>
      </c>
      <c r="D428" s="67">
        <v>42826</v>
      </c>
      <c r="E428" s="67">
        <v>43555</v>
      </c>
      <c r="F428" s="5">
        <v>8000</v>
      </c>
      <c r="G428" s="5">
        <v>10000</v>
      </c>
      <c r="H428" s="67">
        <v>43100</v>
      </c>
      <c r="I428" s="55">
        <v>1811.3374999999999</v>
      </c>
      <c r="J428" s="1"/>
    </row>
    <row r="429" spans="1:10" x14ac:dyDescent="0.25">
      <c r="A429" s="1">
        <v>278</v>
      </c>
      <c r="B429" s="74" t="s">
        <v>523</v>
      </c>
      <c r="C429" s="7" t="str">
        <f>"BV-16/2017"</f>
        <v>BV-16/2017</v>
      </c>
      <c r="D429" s="67">
        <v>42826</v>
      </c>
      <c r="E429" s="67">
        <v>43555</v>
      </c>
      <c r="F429" s="5">
        <v>155201</v>
      </c>
      <c r="G429" s="5">
        <v>194001.25</v>
      </c>
      <c r="H429" s="67">
        <v>43100</v>
      </c>
      <c r="I429" s="55">
        <v>46461.487500000003</v>
      </c>
      <c r="J429" s="1"/>
    </row>
    <row r="430" spans="1:10" ht="24" x14ac:dyDescent="0.25">
      <c r="A430" s="1">
        <v>279</v>
      </c>
      <c r="B430" s="74" t="s">
        <v>540</v>
      </c>
      <c r="C430" s="7" t="str">
        <f>"MV006"</f>
        <v>MV006</v>
      </c>
      <c r="D430" s="67">
        <v>42826</v>
      </c>
      <c r="E430" s="67">
        <v>43343</v>
      </c>
      <c r="F430" s="5">
        <v>312750.2</v>
      </c>
      <c r="G430" s="5">
        <v>390937.75</v>
      </c>
      <c r="H430" s="67">
        <v>43100</v>
      </c>
      <c r="I430" s="55">
        <v>175803.41250000001</v>
      </c>
      <c r="J430" s="1"/>
    </row>
    <row r="431" spans="1:10" ht="24" x14ac:dyDescent="0.25">
      <c r="A431" s="1">
        <v>280</v>
      </c>
      <c r="B431" s="74" t="s">
        <v>747</v>
      </c>
      <c r="C431" s="7" t="str">
        <f>"INA-UG-00321/17"</f>
        <v>INA-UG-00321/17</v>
      </c>
      <c r="D431" s="67">
        <v>42857</v>
      </c>
      <c r="E431" s="67">
        <v>43555</v>
      </c>
      <c r="F431" s="5">
        <v>34474.199999999997</v>
      </c>
      <c r="G431" s="5">
        <v>43092.75</v>
      </c>
      <c r="H431" s="67">
        <v>43100</v>
      </c>
      <c r="I431" s="55">
        <v>18339.75</v>
      </c>
      <c r="J431" s="1"/>
    </row>
    <row r="432" spans="1:10" ht="24" x14ac:dyDescent="0.25">
      <c r="A432" s="1">
        <v>281</v>
      </c>
      <c r="B432" s="74" t="s">
        <v>748</v>
      </c>
      <c r="C432" s="7" t="str">
        <f>"INA-UG-00283/17"</f>
        <v>INA-UG-00283/17</v>
      </c>
      <c r="D432" s="67">
        <v>42838</v>
      </c>
      <c r="E432" s="67">
        <v>43190</v>
      </c>
      <c r="F432" s="5">
        <v>29596</v>
      </c>
      <c r="G432" s="5">
        <v>36995</v>
      </c>
      <c r="H432" s="67">
        <v>43074</v>
      </c>
      <c r="I432" s="55">
        <v>27009.512500000001</v>
      </c>
      <c r="J432" s="1"/>
    </row>
    <row r="433" spans="1:10" ht="36" x14ac:dyDescent="0.25">
      <c r="A433" s="1">
        <v>282</v>
      </c>
      <c r="B433" s="74" t="s">
        <v>488</v>
      </c>
      <c r="C433" s="7" t="str">
        <f>"UGOVOR O NABAVI GORIVA (2,3,4)"</f>
        <v>UGOVOR O NABAVI GORIVA (2,3,4)</v>
      </c>
      <c r="D433" s="67">
        <v>42864</v>
      </c>
      <c r="E433" s="67">
        <v>43190</v>
      </c>
      <c r="F433" s="5">
        <v>55000</v>
      </c>
      <c r="G433" s="5">
        <v>68750</v>
      </c>
      <c r="H433" s="67">
        <v>43100</v>
      </c>
      <c r="I433" s="55">
        <v>21354.35</v>
      </c>
      <c r="J433" s="1"/>
    </row>
    <row r="434" spans="1:10" ht="24" x14ac:dyDescent="0.25">
      <c r="A434" s="1">
        <v>283</v>
      </c>
      <c r="B434" s="74" t="s">
        <v>749</v>
      </c>
      <c r="C434" s="7" t="str">
        <f>"UG-00266/17, SU-92/17"</f>
        <v>UG-00266/17, SU-92/17</v>
      </c>
      <c r="D434" s="67">
        <v>42846</v>
      </c>
      <c r="E434" s="67">
        <v>43555</v>
      </c>
      <c r="F434" s="5">
        <v>29471.200000000001</v>
      </c>
      <c r="G434" s="5">
        <v>36839</v>
      </c>
      <c r="H434" s="67">
        <v>43100</v>
      </c>
      <c r="I434" s="55">
        <v>5660.8125</v>
      </c>
      <c r="J434" s="1"/>
    </row>
    <row r="435" spans="1:10" ht="24" x14ac:dyDescent="0.25">
      <c r="A435" s="1">
        <v>284</v>
      </c>
      <c r="B435" s="74" t="s">
        <v>512</v>
      </c>
      <c r="C435" s="7" t="str">
        <f>"INA-UG-00268/17"</f>
        <v>INA-UG-00268/17</v>
      </c>
      <c r="D435" s="67">
        <v>42826</v>
      </c>
      <c r="E435" s="67">
        <v>43190</v>
      </c>
      <c r="F435" s="5">
        <v>74310</v>
      </c>
      <c r="G435" s="5">
        <v>92887.5</v>
      </c>
      <c r="H435" s="67">
        <v>43100</v>
      </c>
      <c r="I435" s="55">
        <v>6651.75</v>
      </c>
      <c r="J435" s="1"/>
    </row>
    <row r="436" spans="1:10" ht="24" x14ac:dyDescent="0.25">
      <c r="A436" s="1">
        <v>285</v>
      </c>
      <c r="B436" s="74" t="s">
        <v>750</v>
      </c>
      <c r="C436" s="7" t="str">
        <f>"251-56-01-17-43-1-57"</f>
        <v>251-56-01-17-43-1-57</v>
      </c>
      <c r="D436" s="67">
        <v>42825</v>
      </c>
      <c r="E436" s="67">
        <v>43555</v>
      </c>
      <c r="F436" s="5">
        <v>25250</v>
      </c>
      <c r="G436" s="5">
        <v>31562.5</v>
      </c>
      <c r="H436" s="67">
        <v>43100</v>
      </c>
      <c r="I436" s="55">
        <v>10333.8125</v>
      </c>
      <c r="J436" s="1"/>
    </row>
    <row r="437" spans="1:10" ht="24" x14ac:dyDescent="0.25">
      <c r="A437" s="1">
        <v>286</v>
      </c>
      <c r="B437" s="74" t="s">
        <v>751</v>
      </c>
      <c r="C437" s="7" t="str">
        <f>"INA-UG-00299/17"</f>
        <v>INA-UG-00299/17</v>
      </c>
      <c r="D437" s="67">
        <v>42826</v>
      </c>
      <c r="E437" s="67">
        <v>43555</v>
      </c>
      <c r="F437" s="5">
        <v>4000</v>
      </c>
      <c r="G437" s="5">
        <v>5000</v>
      </c>
      <c r="H437" s="67">
        <v>43100</v>
      </c>
      <c r="I437" s="55">
        <v>5671.5250000000005</v>
      </c>
      <c r="J437" s="1"/>
    </row>
    <row r="438" spans="1:10" ht="24" x14ac:dyDescent="0.25">
      <c r="A438" s="1">
        <v>287</v>
      </c>
      <c r="B438" s="74" t="s">
        <v>507</v>
      </c>
      <c r="C438" s="7" t="str">
        <f>"INA-UG-00178/17"</f>
        <v>INA-UG-00178/17</v>
      </c>
      <c r="D438" s="67">
        <v>42849</v>
      </c>
      <c r="E438" s="67">
        <v>43190</v>
      </c>
      <c r="F438" s="5">
        <v>44502.11</v>
      </c>
      <c r="G438" s="5">
        <v>55627.64</v>
      </c>
      <c r="H438" s="67">
        <v>43100</v>
      </c>
      <c r="I438" s="55">
        <v>69627.75</v>
      </c>
      <c r="J438" s="1"/>
    </row>
    <row r="439" spans="1:10" ht="24" x14ac:dyDescent="0.25">
      <c r="A439" s="1">
        <v>288</v>
      </c>
      <c r="B439" s="74" t="s">
        <v>514</v>
      </c>
      <c r="C439" s="7" t="str">
        <f>"INA-UG-00193/17"</f>
        <v>INA-UG-00193/17</v>
      </c>
      <c r="D439" s="67">
        <v>42826</v>
      </c>
      <c r="E439" s="67">
        <v>43555</v>
      </c>
      <c r="F439" s="5">
        <v>43468.92</v>
      </c>
      <c r="G439" s="5">
        <v>54336.15</v>
      </c>
      <c r="H439" s="67">
        <v>43100</v>
      </c>
      <c r="I439" s="55">
        <v>43060.775000000001</v>
      </c>
      <c r="J439" s="1"/>
    </row>
    <row r="440" spans="1:10" ht="24" x14ac:dyDescent="0.25">
      <c r="A440" s="1">
        <v>289</v>
      </c>
      <c r="B440" s="74" t="s">
        <v>752</v>
      </c>
      <c r="C440" s="7" t="str">
        <f>"GORIVO 8/2016-I"</f>
        <v>GORIVO 8/2016-I</v>
      </c>
      <c r="D440" s="67">
        <v>42865</v>
      </c>
      <c r="E440" s="67">
        <v>43555</v>
      </c>
      <c r="F440" s="5">
        <v>44011.72</v>
      </c>
      <c r="G440" s="5">
        <v>55014.65</v>
      </c>
      <c r="H440" s="67">
        <v>43100</v>
      </c>
      <c r="I440" s="55">
        <v>10463.975</v>
      </c>
      <c r="J440" s="1"/>
    </row>
    <row r="441" spans="1:10" ht="24" x14ac:dyDescent="0.25">
      <c r="A441" s="1">
        <v>290</v>
      </c>
      <c r="B441" s="74" t="s">
        <v>753</v>
      </c>
      <c r="C441" s="7" t="str">
        <f>"INA-UG-00309/17"</f>
        <v>INA-UG-00309/17</v>
      </c>
      <c r="D441" s="67">
        <v>42860</v>
      </c>
      <c r="E441" s="67">
        <v>43555</v>
      </c>
      <c r="F441" s="5">
        <v>21120</v>
      </c>
      <c r="G441" s="5">
        <v>26400</v>
      </c>
      <c r="H441" s="67">
        <v>43100</v>
      </c>
      <c r="I441" s="55">
        <v>5749.7125000000005</v>
      </c>
      <c r="J441" s="1"/>
    </row>
    <row r="442" spans="1:10" ht="24" x14ac:dyDescent="0.25">
      <c r="A442" s="1">
        <v>291</v>
      </c>
      <c r="B442" s="74" t="s">
        <v>532</v>
      </c>
      <c r="C442" s="7" t="str">
        <f>"INA-UG-00151/17"</f>
        <v>INA-UG-00151/17</v>
      </c>
      <c r="D442" s="67">
        <v>42934</v>
      </c>
      <c r="E442" s="67">
        <v>43554</v>
      </c>
      <c r="F442" s="5">
        <v>16995.97</v>
      </c>
      <c r="G442" s="5">
        <v>21244.959999999999</v>
      </c>
      <c r="H442" s="67">
        <v>43100</v>
      </c>
      <c r="I442" s="55">
        <v>58460.024999999994</v>
      </c>
      <c r="J442" s="1"/>
    </row>
    <row r="443" spans="1:10" ht="24" x14ac:dyDescent="0.25">
      <c r="A443" s="1">
        <v>292</v>
      </c>
      <c r="B443" s="74" t="s">
        <v>533</v>
      </c>
      <c r="C443" s="7" t="str">
        <f>"INA-UG-00451/17"</f>
        <v>INA-UG-00451/17</v>
      </c>
      <c r="D443" s="67">
        <v>42825</v>
      </c>
      <c r="E443" s="67">
        <v>43555</v>
      </c>
      <c r="F443" s="5">
        <v>0</v>
      </c>
      <c r="G443" s="5">
        <v>0</v>
      </c>
      <c r="H443" s="67">
        <v>43100</v>
      </c>
      <c r="I443" s="55">
        <v>10010.6625</v>
      </c>
      <c r="J443" s="1"/>
    </row>
    <row r="444" spans="1:10" x14ac:dyDescent="0.25">
      <c r="A444" s="1">
        <v>293</v>
      </c>
      <c r="B444" s="74" t="s">
        <v>212</v>
      </c>
      <c r="C444" s="7" t="str">
        <f>"8/ 2016-I"</f>
        <v>8/ 2016-I</v>
      </c>
      <c r="D444" s="67">
        <v>42825</v>
      </c>
      <c r="E444" s="67">
        <v>43554</v>
      </c>
      <c r="F444" s="5">
        <v>0</v>
      </c>
      <c r="G444" s="5">
        <v>0</v>
      </c>
      <c r="H444" s="67">
        <v>43100</v>
      </c>
      <c r="I444" s="55">
        <v>182448.1</v>
      </c>
      <c r="J444" s="1"/>
    </row>
    <row r="446" spans="1:10" x14ac:dyDescent="0.25">
      <c r="B446" s="174" t="s">
        <v>2028</v>
      </c>
      <c r="C446" s="174"/>
      <c r="D446" s="174"/>
      <c r="E446" s="174"/>
      <c r="F446" s="174"/>
      <c r="G446" s="174"/>
      <c r="H446" s="174"/>
      <c r="I446" s="174"/>
      <c r="J446" s="174"/>
    </row>
  </sheetData>
  <sheetProtection algorithmName="SHA-512" hashValue="69wKRcaB1hKyrCYXsYECHQ6VpZVpFAynzw3Pk9+ylrNiXpFBg89bJeAj9RvYdPWY4XGcmzTBgesajVrjs+ni2Q==" saltValue="TApJtpa18K5zVCPj9NOkiA==" spinCount="100000" sheet="1" objects="1" scenarios="1"/>
  <mergeCells count="32">
    <mergeCell ref="A6:J6"/>
    <mergeCell ref="A1:N1"/>
    <mergeCell ref="D2:E2"/>
    <mergeCell ref="D3:E3"/>
    <mergeCell ref="N3:N4"/>
    <mergeCell ref="A4:L4"/>
    <mergeCell ref="A95:N95"/>
    <mergeCell ref="D96:E96"/>
    <mergeCell ref="D97:E97"/>
    <mergeCell ref="N97:N98"/>
    <mergeCell ref="A98:L98"/>
    <mergeCell ref="A100:J100"/>
    <mergeCell ref="A125:N125"/>
    <mergeCell ref="D126:E126"/>
    <mergeCell ref="D127:E127"/>
    <mergeCell ref="N127:N128"/>
    <mergeCell ref="A128:L128"/>
    <mergeCell ref="B446:J446"/>
    <mergeCell ref="A150:J150"/>
    <mergeCell ref="A130:J130"/>
    <mergeCell ref="A145:N145"/>
    <mergeCell ref="D146:E146"/>
    <mergeCell ref="D147:E147"/>
    <mergeCell ref="N147:N148"/>
    <mergeCell ref="A148:L148"/>
    <mergeCell ref="G426:G427"/>
    <mergeCell ref="H426:H427"/>
    <mergeCell ref="B426:B427"/>
    <mergeCell ref="C426:C427"/>
    <mergeCell ref="D426:D427"/>
    <mergeCell ref="E426:E427"/>
    <mergeCell ref="F426:F427"/>
  </mergeCells>
  <pageMargins left="0.23622047244094491" right="0.23622047244094491" top="0.98425196850393704" bottom="0.59055118110236227" header="0.31496062992125984" footer="0.31496062992125984"/>
  <pageSetup scale="69" fitToHeight="0" orientation="landscape" r:id="rId1"/>
  <headerFooter>
    <oddHeader>&amp;L&amp;G&amp;CRegistar okvirnih sporazuma i ugovora za 2016. godinu 
za predmete nabave iz nadležnosti Središnjeg državnog ureda za središnju javnu nabavu</oddHeader>
    <oddFooter>&amp;L&amp;D&amp;C &amp;A&amp;R&amp;P/&amp;N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N418"/>
  <sheetViews>
    <sheetView view="pageLayout" zoomScaleNormal="100" workbookViewId="0">
      <selection sqref="A1:N1"/>
    </sheetView>
  </sheetViews>
  <sheetFormatPr defaultRowHeight="15" x14ac:dyDescent="0.25"/>
  <cols>
    <col min="1" max="1" width="4.85546875" customWidth="1"/>
    <col min="2" max="2" width="26.140625" customWidth="1"/>
    <col min="3" max="3" width="12" customWidth="1"/>
    <col min="4" max="4" width="13.42578125" customWidth="1"/>
    <col min="5" max="5" width="14" customWidth="1"/>
    <col min="6" max="6" width="15.28515625" customWidth="1"/>
    <col min="7" max="11" width="13.5703125" customWidth="1"/>
    <col min="12" max="12" width="13.28515625" customWidth="1"/>
    <col min="13" max="13" width="13.5703125" customWidth="1"/>
    <col min="14" max="14" width="11.42578125" customWidth="1"/>
  </cols>
  <sheetData>
    <row r="1" spans="1:14" x14ac:dyDescent="0.25">
      <c r="A1" s="175" t="s">
        <v>2029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36" x14ac:dyDescent="0.25">
      <c r="A2" s="53" t="s">
        <v>0</v>
      </c>
      <c r="B2" s="54" t="s">
        <v>1</v>
      </c>
      <c r="C2" s="54" t="s">
        <v>3</v>
      </c>
      <c r="D2" s="178" t="s">
        <v>171</v>
      </c>
      <c r="E2" s="178"/>
      <c r="F2" s="54" t="s">
        <v>166</v>
      </c>
      <c r="G2" s="54" t="s">
        <v>170</v>
      </c>
      <c r="H2" s="54" t="s">
        <v>167</v>
      </c>
      <c r="I2" s="54" t="s">
        <v>4</v>
      </c>
      <c r="J2" s="54" t="s">
        <v>5</v>
      </c>
      <c r="K2" s="54" t="s">
        <v>2</v>
      </c>
      <c r="L2" s="54" t="s">
        <v>172</v>
      </c>
      <c r="M2" s="54" t="s">
        <v>173</v>
      </c>
      <c r="N2" s="54" t="s">
        <v>169</v>
      </c>
    </row>
    <row r="3" spans="1:14" ht="24" customHeight="1" x14ac:dyDescent="0.25">
      <c r="A3" s="1">
        <v>1</v>
      </c>
      <c r="B3" s="4" t="s">
        <v>60</v>
      </c>
      <c r="C3" s="14" t="s">
        <v>96</v>
      </c>
      <c r="D3" s="192" t="s">
        <v>1031</v>
      </c>
      <c r="E3" s="192"/>
      <c r="F3" s="38" t="s">
        <v>101</v>
      </c>
      <c r="G3" s="38" t="s">
        <v>1003</v>
      </c>
      <c r="H3" s="1" t="s">
        <v>15</v>
      </c>
      <c r="I3" s="15">
        <v>42345</v>
      </c>
      <c r="J3" s="1" t="s">
        <v>51</v>
      </c>
      <c r="K3" s="8">
        <v>158639170</v>
      </c>
      <c r="L3" s="8">
        <f>K3*0.25</f>
        <v>39659792.5</v>
      </c>
      <c r="M3" s="8">
        <f>K3+L3</f>
        <v>198298962.5</v>
      </c>
      <c r="N3" s="176"/>
    </row>
    <row r="4" spans="1:14" ht="15" customHeight="1" x14ac:dyDescent="0.25">
      <c r="A4" s="177" t="s">
        <v>1012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8">
        <v>202534018.30000001</v>
      </c>
      <c r="N4" s="176"/>
    </row>
    <row r="5" spans="1:14" ht="7.5" customHeight="1" x14ac:dyDescent="0.25">
      <c r="L5" s="47"/>
    </row>
    <row r="6" spans="1:14" ht="15" customHeight="1" x14ac:dyDescent="0.25">
      <c r="A6" s="175" t="s">
        <v>12</v>
      </c>
      <c r="B6" s="175"/>
      <c r="C6" s="175"/>
      <c r="D6" s="175"/>
      <c r="E6" s="175"/>
      <c r="F6" s="175"/>
      <c r="G6" s="175"/>
      <c r="H6" s="175"/>
      <c r="I6" s="175"/>
      <c r="J6" s="175"/>
      <c r="K6" s="49"/>
      <c r="L6" s="49"/>
    </row>
    <row r="7" spans="1:14" ht="48" customHeight="1" x14ac:dyDescent="0.25">
      <c r="A7" s="2" t="s">
        <v>0</v>
      </c>
      <c r="B7" s="3" t="s">
        <v>7</v>
      </c>
      <c r="C7" s="3" t="s">
        <v>6</v>
      </c>
      <c r="D7" s="3" t="s">
        <v>8</v>
      </c>
      <c r="E7" s="3" t="s">
        <v>168</v>
      </c>
      <c r="F7" s="3" t="s">
        <v>174</v>
      </c>
      <c r="G7" s="3" t="s">
        <v>175</v>
      </c>
      <c r="H7" s="3" t="s">
        <v>9</v>
      </c>
      <c r="I7" s="3" t="s">
        <v>176</v>
      </c>
      <c r="J7" s="3" t="s">
        <v>10</v>
      </c>
      <c r="K7" s="20"/>
      <c r="L7" s="48"/>
      <c r="M7" s="48"/>
    </row>
    <row r="8" spans="1:14" ht="24" x14ac:dyDescent="0.25">
      <c r="A8" s="38">
        <v>1</v>
      </c>
      <c r="B8" s="87" t="s">
        <v>588</v>
      </c>
      <c r="C8" s="85" t="str">
        <f>"O-16-602"</f>
        <v>O-16-602</v>
      </c>
      <c r="D8" s="86">
        <v>42345</v>
      </c>
      <c r="E8" s="86">
        <v>43076</v>
      </c>
      <c r="F8" s="84">
        <v>68888.62</v>
      </c>
      <c r="G8" s="84">
        <v>86110.78</v>
      </c>
      <c r="H8" s="86">
        <v>43100</v>
      </c>
      <c r="I8" s="37">
        <v>125286.17359999999</v>
      </c>
      <c r="J8" s="72"/>
      <c r="K8" s="45"/>
    </row>
    <row r="9" spans="1:14" ht="24" x14ac:dyDescent="0.25">
      <c r="A9" s="115">
        <v>2</v>
      </c>
      <c r="B9" s="87" t="s">
        <v>574</v>
      </c>
      <c r="C9" s="85" t="str">
        <f>"0-16-420"</f>
        <v>0-16-420</v>
      </c>
      <c r="D9" s="86">
        <v>42345</v>
      </c>
      <c r="E9" s="86">
        <v>43076</v>
      </c>
      <c r="F9" s="84">
        <v>136457.35999999999</v>
      </c>
      <c r="G9" s="84">
        <v>170571.7</v>
      </c>
      <c r="H9" s="86">
        <v>43100</v>
      </c>
      <c r="I9" s="37">
        <v>372087.41700000002</v>
      </c>
      <c r="J9" s="72"/>
      <c r="K9" s="45"/>
    </row>
    <row r="10" spans="1:14" ht="24" x14ac:dyDescent="0.25">
      <c r="A10" s="115">
        <v>3</v>
      </c>
      <c r="B10" s="87" t="s">
        <v>487</v>
      </c>
      <c r="C10" s="85" t="str">
        <f>"10/2016"</f>
        <v>10/2016</v>
      </c>
      <c r="D10" s="86">
        <v>42383</v>
      </c>
      <c r="E10" s="86">
        <v>43113</v>
      </c>
      <c r="F10" s="84">
        <v>27490.95</v>
      </c>
      <c r="G10" s="84">
        <v>34363.69</v>
      </c>
      <c r="H10" s="86">
        <v>43021</v>
      </c>
      <c r="I10" s="37">
        <v>57100.866199999989</v>
      </c>
      <c r="J10" s="72"/>
      <c r="K10" s="45"/>
    </row>
    <row r="11" spans="1:14" ht="24" x14ac:dyDescent="0.25">
      <c r="A11" s="115">
        <v>4</v>
      </c>
      <c r="B11" s="87" t="s">
        <v>702</v>
      </c>
      <c r="C11" s="85" t="str">
        <f>"O-16-474"</f>
        <v>O-16-474</v>
      </c>
      <c r="D11" s="86">
        <v>42370</v>
      </c>
      <c r="E11" s="86">
        <v>43101</v>
      </c>
      <c r="F11" s="84">
        <v>909605.15</v>
      </c>
      <c r="G11" s="84">
        <v>1137006.44</v>
      </c>
      <c r="H11" s="86">
        <v>43100</v>
      </c>
      <c r="I11" s="37">
        <v>1647404.4112999998</v>
      </c>
      <c r="J11" s="72"/>
      <c r="K11" s="45"/>
    </row>
    <row r="12" spans="1:14" x14ac:dyDescent="0.25">
      <c r="A12" s="115">
        <v>5</v>
      </c>
      <c r="B12" s="87" t="s">
        <v>17</v>
      </c>
      <c r="C12" s="85" t="str">
        <f>"O-16-306"</f>
        <v>O-16-306</v>
      </c>
      <c r="D12" s="86">
        <v>42370</v>
      </c>
      <c r="E12" s="86">
        <v>43101</v>
      </c>
      <c r="F12" s="84">
        <v>345125.92</v>
      </c>
      <c r="G12" s="84">
        <v>431407.4</v>
      </c>
      <c r="H12" s="86">
        <v>43100</v>
      </c>
      <c r="I12" s="37">
        <v>1758825.4622999998</v>
      </c>
      <c r="J12" s="72"/>
      <c r="K12" s="45"/>
    </row>
    <row r="13" spans="1:14" ht="24" x14ac:dyDescent="0.25">
      <c r="A13" s="115">
        <v>6</v>
      </c>
      <c r="B13" s="87" t="s">
        <v>754</v>
      </c>
      <c r="C13" s="85" t="str">
        <f>"O-16-293"</f>
        <v>O-16-293</v>
      </c>
      <c r="D13" s="86">
        <v>42388</v>
      </c>
      <c r="E13" s="86">
        <v>43119</v>
      </c>
      <c r="F13" s="84">
        <v>46856.160000000003</v>
      </c>
      <c r="G13" s="84">
        <v>58570.2</v>
      </c>
      <c r="H13" s="86">
        <v>43100</v>
      </c>
      <c r="I13" s="37">
        <v>50131.930199999995</v>
      </c>
      <c r="J13" s="72"/>
      <c r="K13" s="45"/>
    </row>
    <row r="14" spans="1:14" ht="36" x14ac:dyDescent="0.25">
      <c r="A14" s="115">
        <v>7</v>
      </c>
      <c r="B14" s="87" t="s">
        <v>727</v>
      </c>
      <c r="C14" s="85" t="str">
        <f>"O-16-181"</f>
        <v>O-16-181</v>
      </c>
      <c r="D14" s="86">
        <v>42361</v>
      </c>
      <c r="E14" s="86">
        <v>43131</v>
      </c>
      <c r="F14" s="84">
        <v>120000</v>
      </c>
      <c r="G14" s="84">
        <v>150000</v>
      </c>
      <c r="H14" s="86">
        <v>43100</v>
      </c>
      <c r="I14" s="37">
        <v>125348.92249999999</v>
      </c>
      <c r="J14" s="72"/>
      <c r="K14" s="45"/>
    </row>
    <row r="15" spans="1:14" x14ac:dyDescent="0.25">
      <c r="A15" s="115">
        <v>8</v>
      </c>
      <c r="B15" s="87" t="s">
        <v>512</v>
      </c>
      <c r="C15" s="85" t="str">
        <f>"O-18-569"</f>
        <v>O-18-569</v>
      </c>
      <c r="D15" s="86">
        <v>43087</v>
      </c>
      <c r="E15" s="86">
        <v>43269</v>
      </c>
      <c r="F15" s="84">
        <v>8240.18</v>
      </c>
      <c r="G15" s="84">
        <v>10300.23</v>
      </c>
      <c r="H15" s="86">
        <v>43100</v>
      </c>
      <c r="I15" s="37">
        <v>8086.5059999999994</v>
      </c>
      <c r="J15" s="72"/>
      <c r="K15" s="45"/>
    </row>
    <row r="16" spans="1:14" ht="24" x14ac:dyDescent="0.25">
      <c r="A16" s="115">
        <v>9</v>
      </c>
      <c r="B16" s="87" t="s">
        <v>597</v>
      </c>
      <c r="C16" s="85" t="str">
        <f>"102101/2584"</f>
        <v>102101/2584</v>
      </c>
      <c r="D16" s="86">
        <v>42957</v>
      </c>
      <c r="E16" s="86">
        <v>43343</v>
      </c>
      <c r="F16" s="84">
        <v>0</v>
      </c>
      <c r="G16" s="84">
        <v>0</v>
      </c>
      <c r="H16" s="86">
        <v>43100</v>
      </c>
      <c r="I16" s="37">
        <v>77823.099999999991</v>
      </c>
      <c r="J16" s="72"/>
      <c r="K16" s="45"/>
    </row>
    <row r="17" spans="1:11" x14ac:dyDescent="0.25">
      <c r="A17" s="115">
        <v>10</v>
      </c>
      <c r="B17" s="87" t="s">
        <v>619</v>
      </c>
      <c r="C17" s="85" t="str">
        <f>"0-17-950"</f>
        <v>0-17-950</v>
      </c>
      <c r="D17" s="86">
        <v>42951</v>
      </c>
      <c r="E17" s="86">
        <v>43678</v>
      </c>
      <c r="F17" s="84">
        <v>46800</v>
      </c>
      <c r="G17" s="84">
        <v>58500</v>
      </c>
      <c r="H17" s="86">
        <v>43100</v>
      </c>
      <c r="I17" s="37">
        <v>7871.3087999999998</v>
      </c>
      <c r="J17" s="72"/>
      <c r="K17" s="45"/>
    </row>
    <row r="18" spans="1:11" ht="24" x14ac:dyDescent="0.25">
      <c r="A18" s="115">
        <v>11</v>
      </c>
      <c r="B18" s="87" t="s">
        <v>654</v>
      </c>
      <c r="C18" s="85" t="str">
        <f>"O-17-851"</f>
        <v>O-17-851</v>
      </c>
      <c r="D18" s="86">
        <v>42937</v>
      </c>
      <c r="E18" s="86">
        <v>43076</v>
      </c>
      <c r="F18" s="84">
        <v>436.54</v>
      </c>
      <c r="G18" s="84">
        <v>545.67999999999995</v>
      </c>
      <c r="H18" s="86">
        <v>43100</v>
      </c>
      <c r="I18" s="37">
        <v>1548.9813999999999</v>
      </c>
      <c r="J18" s="72"/>
      <c r="K18" s="45"/>
    </row>
    <row r="19" spans="1:11" x14ac:dyDescent="0.25">
      <c r="A19" s="115">
        <v>12</v>
      </c>
      <c r="B19" s="87" t="s">
        <v>542</v>
      </c>
      <c r="C19" s="85" t="str">
        <f>"0-16-414"</f>
        <v>0-16-414</v>
      </c>
      <c r="D19" s="86">
        <v>42875</v>
      </c>
      <c r="E19" s="86">
        <v>43240</v>
      </c>
      <c r="F19" s="84">
        <v>0</v>
      </c>
      <c r="G19" s="84">
        <v>0</v>
      </c>
      <c r="H19" s="86">
        <v>43100</v>
      </c>
      <c r="I19" s="37">
        <v>14415.568199999998</v>
      </c>
      <c r="J19" s="72"/>
      <c r="K19" s="45"/>
    </row>
    <row r="20" spans="1:11" ht="36" x14ac:dyDescent="0.25">
      <c r="A20" s="115">
        <v>13</v>
      </c>
      <c r="B20" s="87" t="s">
        <v>755</v>
      </c>
      <c r="C20" s="85" t="str">
        <f>"BR.UG.-0-17-605"</f>
        <v>BR.UG.-0-17-605</v>
      </c>
      <c r="D20" s="86">
        <v>42830</v>
      </c>
      <c r="E20" s="86">
        <v>43195</v>
      </c>
      <c r="F20" s="84">
        <v>0</v>
      </c>
      <c r="G20" s="84">
        <v>0</v>
      </c>
      <c r="H20" s="86">
        <v>43009</v>
      </c>
      <c r="I20" s="37">
        <v>42941.197799999994</v>
      </c>
      <c r="J20" s="72"/>
      <c r="K20" s="45"/>
    </row>
    <row r="21" spans="1:11" ht="24" x14ac:dyDescent="0.25">
      <c r="A21" s="115">
        <v>14</v>
      </c>
      <c r="B21" s="87" t="s">
        <v>603</v>
      </c>
      <c r="C21" s="85" t="str">
        <f>"O-16-646"</f>
        <v>O-16-646</v>
      </c>
      <c r="D21" s="86">
        <v>42382</v>
      </c>
      <c r="E21" s="86">
        <v>43131</v>
      </c>
      <c r="F21" s="84">
        <v>8682.16</v>
      </c>
      <c r="G21" s="84">
        <v>10852.7</v>
      </c>
      <c r="H21" s="86">
        <v>43100</v>
      </c>
      <c r="I21" s="37">
        <v>27273.069799999997</v>
      </c>
      <c r="J21" s="72"/>
      <c r="K21" s="45"/>
    </row>
    <row r="22" spans="1:11" ht="24" x14ac:dyDescent="0.25">
      <c r="A22" s="115">
        <v>15</v>
      </c>
      <c r="B22" s="87" t="s">
        <v>494</v>
      </c>
      <c r="C22" s="85" t="str">
        <f>"O-17-563"</f>
        <v>O-17-563</v>
      </c>
      <c r="D22" s="86">
        <v>42814</v>
      </c>
      <c r="E22" s="86">
        <v>43190</v>
      </c>
      <c r="F22" s="84">
        <v>44582.69</v>
      </c>
      <c r="G22" s="84">
        <v>50378.44</v>
      </c>
      <c r="H22" s="86">
        <v>43100</v>
      </c>
      <c r="I22" s="37">
        <v>53492.877899999999</v>
      </c>
      <c r="J22" s="72"/>
      <c r="K22" s="45"/>
    </row>
    <row r="23" spans="1:11" x14ac:dyDescent="0.25">
      <c r="A23" s="115">
        <v>16</v>
      </c>
      <c r="B23" s="87" t="s">
        <v>756</v>
      </c>
      <c r="C23" s="85" t="str">
        <f>"O-16-364"</f>
        <v>O-16-364</v>
      </c>
      <c r="D23" s="86">
        <v>42356</v>
      </c>
      <c r="E23" s="86">
        <v>42807</v>
      </c>
      <c r="F23" s="84">
        <v>33595.61</v>
      </c>
      <c r="G23" s="84">
        <v>41994.51</v>
      </c>
      <c r="H23" s="86">
        <v>43100</v>
      </c>
      <c r="I23" s="37">
        <v>123721.85809999998</v>
      </c>
      <c r="J23" s="72"/>
      <c r="K23" s="45"/>
    </row>
    <row r="24" spans="1:11" ht="36" x14ac:dyDescent="0.25">
      <c r="A24" s="115">
        <v>17</v>
      </c>
      <c r="B24" s="87" t="s">
        <v>686</v>
      </c>
      <c r="C24" s="85" t="str">
        <f>"UDU PGZ / 1 / 17"</f>
        <v>UDU PGZ / 1 / 17</v>
      </c>
      <c r="D24" s="86">
        <v>42794</v>
      </c>
      <c r="E24" s="86">
        <v>43159</v>
      </c>
      <c r="F24" s="84">
        <v>138980.68</v>
      </c>
      <c r="G24" s="84">
        <v>157048.16</v>
      </c>
      <c r="H24" s="86">
        <v>43100</v>
      </c>
      <c r="I24" s="37">
        <v>134505.27859999999</v>
      </c>
      <c r="J24" s="72"/>
      <c r="K24" s="45"/>
    </row>
    <row r="25" spans="1:11" x14ac:dyDescent="0.25">
      <c r="A25" s="115">
        <v>18</v>
      </c>
      <c r="B25" s="87" t="s">
        <v>672</v>
      </c>
      <c r="C25" s="85" t="str">
        <f>"O-17-281"</f>
        <v>O-17-281</v>
      </c>
      <c r="D25" s="86">
        <v>42754</v>
      </c>
      <c r="E25" s="86">
        <v>43131</v>
      </c>
      <c r="F25" s="84">
        <v>11453.32</v>
      </c>
      <c r="G25" s="84">
        <v>14316.65</v>
      </c>
      <c r="H25" s="86">
        <v>43100</v>
      </c>
      <c r="I25" s="37">
        <v>14169.273399999998</v>
      </c>
      <c r="J25" s="72"/>
      <c r="K25" s="45"/>
    </row>
    <row r="26" spans="1:11" ht="24" x14ac:dyDescent="0.25">
      <c r="A26" s="115">
        <v>19</v>
      </c>
      <c r="B26" s="87" t="s">
        <v>675</v>
      </c>
      <c r="C26" s="85" t="str">
        <f>"O-17-226"</f>
        <v>O-17-226</v>
      </c>
      <c r="D26" s="86">
        <v>42739</v>
      </c>
      <c r="E26" s="86">
        <v>43100</v>
      </c>
      <c r="F26" s="84">
        <v>12996.19</v>
      </c>
      <c r="G26" s="84">
        <v>12996.19</v>
      </c>
      <c r="H26" s="86">
        <v>43100</v>
      </c>
      <c r="I26" s="37">
        <v>44147.619699999996</v>
      </c>
      <c r="J26" s="72"/>
      <c r="K26" s="45"/>
    </row>
    <row r="27" spans="1:11" ht="36" x14ac:dyDescent="0.25">
      <c r="A27" s="115">
        <v>20</v>
      </c>
      <c r="B27" s="87" t="s">
        <v>720</v>
      </c>
      <c r="C27" s="85" t="str">
        <f>"KLASA:UP/I-030-01/17-02/1"</f>
        <v>KLASA:UP/I-030-01/17-02/1</v>
      </c>
      <c r="D27" s="86">
        <v>42767</v>
      </c>
      <c r="E27" s="86">
        <v>43131</v>
      </c>
      <c r="F27" s="84">
        <v>81699.11</v>
      </c>
      <c r="G27" s="84">
        <v>102123.89</v>
      </c>
      <c r="H27" s="86">
        <v>43100</v>
      </c>
      <c r="I27" s="37">
        <v>141294.05869999999</v>
      </c>
      <c r="J27" s="72"/>
      <c r="K27" s="45"/>
    </row>
    <row r="28" spans="1:11" ht="24" x14ac:dyDescent="0.25">
      <c r="A28" s="115">
        <v>21</v>
      </c>
      <c r="B28" s="87" t="s">
        <v>534</v>
      </c>
      <c r="C28" s="85" t="str">
        <f>"561-01-17-193"</f>
        <v>561-01-17-193</v>
      </c>
      <c r="D28" s="86">
        <v>42765</v>
      </c>
      <c r="E28" s="86">
        <v>43131</v>
      </c>
      <c r="F28" s="84">
        <v>49033.77</v>
      </c>
      <c r="G28" s="84">
        <v>61292.21</v>
      </c>
      <c r="H28" s="86">
        <v>43100</v>
      </c>
      <c r="I28" s="37">
        <v>62511.419199999989</v>
      </c>
      <c r="J28" s="72"/>
      <c r="K28" s="45"/>
    </row>
    <row r="29" spans="1:11" ht="24" x14ac:dyDescent="0.25">
      <c r="A29" s="115">
        <v>22</v>
      </c>
      <c r="B29" s="87" t="s">
        <v>195</v>
      </c>
      <c r="C29" s="85" t="str">
        <f>"O-17-262"</f>
        <v>O-17-262</v>
      </c>
      <c r="D29" s="86">
        <v>42748</v>
      </c>
      <c r="E29" s="86">
        <v>43112</v>
      </c>
      <c r="F29" s="84">
        <v>8436452.5500000007</v>
      </c>
      <c r="G29" s="84">
        <v>10545565.689999999</v>
      </c>
      <c r="H29" s="86">
        <v>43100</v>
      </c>
      <c r="I29" s="37">
        <v>22189561.784199998</v>
      </c>
      <c r="J29" s="72"/>
      <c r="K29" s="45"/>
    </row>
    <row r="30" spans="1:11" ht="36" x14ac:dyDescent="0.25">
      <c r="A30" s="115">
        <v>23</v>
      </c>
      <c r="B30" s="87" t="s">
        <v>191</v>
      </c>
      <c r="C30" s="85" t="str">
        <f>"KLASA:406-01/15-01/278, URB-14"</f>
        <v>KLASA:406-01/15-01/278, URB-14</v>
      </c>
      <c r="D30" s="86">
        <v>42725</v>
      </c>
      <c r="E30" s="86">
        <v>43076</v>
      </c>
      <c r="F30" s="84">
        <v>1515875.65</v>
      </c>
      <c r="G30" s="84">
        <v>1894844.56</v>
      </c>
      <c r="H30" s="86">
        <v>43100</v>
      </c>
      <c r="I30" s="37">
        <v>3272185.2394999997</v>
      </c>
      <c r="J30" s="72"/>
      <c r="K30" s="45"/>
    </row>
    <row r="31" spans="1:11" ht="36" x14ac:dyDescent="0.25">
      <c r="A31" s="115">
        <v>24</v>
      </c>
      <c r="B31" s="87" t="s">
        <v>210</v>
      </c>
      <c r="C31" s="85" t="str">
        <f>"PU - EL ENERGIJA - URBR:16-11"</f>
        <v>PU - EL ENERGIJA - URBR:16-11</v>
      </c>
      <c r="D31" s="86">
        <v>42716</v>
      </c>
      <c r="E31" s="86">
        <v>43100</v>
      </c>
      <c r="F31" s="84">
        <v>1179788.49</v>
      </c>
      <c r="G31" s="84">
        <v>1474735.61</v>
      </c>
      <c r="H31" s="86">
        <v>42825</v>
      </c>
      <c r="I31" s="37">
        <v>526584.22619999992</v>
      </c>
      <c r="J31" s="72"/>
      <c r="K31" s="45"/>
    </row>
    <row r="32" spans="1:11" x14ac:dyDescent="0.25">
      <c r="A32" s="115">
        <v>25</v>
      </c>
      <c r="B32" s="87" t="s">
        <v>16</v>
      </c>
      <c r="C32" s="85" t="str">
        <f>"O-17-236"</f>
        <v>O-17-236</v>
      </c>
      <c r="D32" s="86">
        <v>42744</v>
      </c>
      <c r="E32" s="86">
        <v>43100</v>
      </c>
      <c r="F32" s="84">
        <v>52406.720000000001</v>
      </c>
      <c r="G32" s="84">
        <v>65508.4</v>
      </c>
      <c r="H32" s="86">
        <v>43100</v>
      </c>
      <c r="I32" s="37">
        <v>135002.5238</v>
      </c>
      <c r="J32" s="72"/>
      <c r="K32" s="45"/>
    </row>
    <row r="33" spans="1:11" ht="36" x14ac:dyDescent="0.25">
      <c r="A33" s="115">
        <v>26</v>
      </c>
      <c r="B33" s="87" t="s">
        <v>518</v>
      </c>
      <c r="C33" s="85" t="str">
        <f>"ANEKS STRUJA-2-2017"</f>
        <v>ANEKS STRUJA-2-2017</v>
      </c>
      <c r="D33" s="86">
        <v>42704</v>
      </c>
      <c r="E33" s="86">
        <v>43100</v>
      </c>
      <c r="F33" s="84">
        <v>208602.32</v>
      </c>
      <c r="G33" s="84">
        <v>260752.9</v>
      </c>
      <c r="H33" s="86">
        <v>43100</v>
      </c>
      <c r="I33" s="37">
        <v>170865.07389999999</v>
      </c>
      <c r="J33" s="72"/>
      <c r="K33" s="45"/>
    </row>
    <row r="34" spans="1:11" x14ac:dyDescent="0.25">
      <c r="A34" s="115">
        <v>27</v>
      </c>
      <c r="B34" s="87" t="s">
        <v>509</v>
      </c>
      <c r="C34" s="85" t="str">
        <f>"O-17-82"</f>
        <v>O-17-82</v>
      </c>
      <c r="D34" s="86">
        <v>42706</v>
      </c>
      <c r="E34" s="86">
        <v>43100</v>
      </c>
      <c r="F34" s="84">
        <v>13385.97</v>
      </c>
      <c r="G34" s="84">
        <v>15126.15</v>
      </c>
      <c r="H34" s="86">
        <v>43100</v>
      </c>
      <c r="I34" s="37">
        <v>19509.868099999996</v>
      </c>
      <c r="J34" s="72"/>
      <c r="K34" s="45"/>
    </row>
    <row r="35" spans="1:11" ht="24" x14ac:dyDescent="0.25">
      <c r="A35" s="115">
        <v>28</v>
      </c>
      <c r="B35" s="87" t="s">
        <v>200</v>
      </c>
      <c r="C35" s="85" t="str">
        <f>"O-16-537"</f>
        <v>O-16-537</v>
      </c>
      <c r="D35" s="86">
        <v>42809</v>
      </c>
      <c r="E35" s="86">
        <v>43076</v>
      </c>
      <c r="F35" s="84">
        <v>494213.04</v>
      </c>
      <c r="G35" s="84">
        <v>617766.30000000005</v>
      </c>
      <c r="H35" s="86">
        <v>43100</v>
      </c>
      <c r="I35" s="37">
        <v>611465.72429999989</v>
      </c>
      <c r="J35" s="72"/>
      <c r="K35" s="45"/>
    </row>
    <row r="36" spans="1:11" ht="24" x14ac:dyDescent="0.25">
      <c r="A36" s="115">
        <v>29</v>
      </c>
      <c r="B36" s="87" t="s">
        <v>205</v>
      </c>
      <c r="C36" s="85" t="str">
        <f>"O-17-156"</f>
        <v>O-17-156</v>
      </c>
      <c r="D36" s="86">
        <v>42723</v>
      </c>
      <c r="E36" s="86">
        <v>43100</v>
      </c>
      <c r="F36" s="84">
        <v>80000</v>
      </c>
      <c r="G36" s="84">
        <v>100000</v>
      </c>
      <c r="H36" s="86">
        <v>43100</v>
      </c>
      <c r="I36" s="37">
        <v>84742.756699999984</v>
      </c>
      <c r="J36" s="72"/>
      <c r="K36" s="45"/>
    </row>
    <row r="37" spans="1:11" ht="24" x14ac:dyDescent="0.25">
      <c r="A37" s="115">
        <v>30</v>
      </c>
      <c r="B37" s="87" t="s">
        <v>206</v>
      </c>
      <c r="C37" s="85" t="str">
        <f>"0-17-123 EL.ENERGIJA"</f>
        <v>0-17-123 EL.ENERGIJA</v>
      </c>
      <c r="D37" s="86">
        <v>42716</v>
      </c>
      <c r="E37" s="86">
        <v>43100</v>
      </c>
      <c r="F37" s="84">
        <v>160000</v>
      </c>
      <c r="G37" s="84">
        <v>200000</v>
      </c>
      <c r="H37" s="86">
        <v>43100</v>
      </c>
      <c r="I37" s="37">
        <v>119194.9086</v>
      </c>
      <c r="J37" s="72"/>
      <c r="K37" s="45"/>
    </row>
    <row r="38" spans="1:11" x14ac:dyDescent="0.25">
      <c r="A38" s="115">
        <v>31</v>
      </c>
      <c r="B38" s="87" t="s">
        <v>198</v>
      </c>
      <c r="C38" s="85" t="str">
        <f>"P/14767849"</f>
        <v>P/14767849</v>
      </c>
      <c r="D38" s="86">
        <v>42751</v>
      </c>
      <c r="E38" s="86">
        <v>43100</v>
      </c>
      <c r="F38" s="84">
        <v>391460.51</v>
      </c>
      <c r="G38" s="84">
        <v>489325.64</v>
      </c>
      <c r="H38" s="86">
        <v>43100</v>
      </c>
      <c r="I38" s="37">
        <v>378161.67549999995</v>
      </c>
      <c r="J38" s="72"/>
      <c r="K38" s="45"/>
    </row>
    <row r="39" spans="1:11" ht="24" x14ac:dyDescent="0.25">
      <c r="A39" s="115">
        <v>32</v>
      </c>
      <c r="B39" s="87" t="s">
        <v>197</v>
      </c>
      <c r="C39" s="85" t="str">
        <f>"U007/17"</f>
        <v>U007/17</v>
      </c>
      <c r="D39" s="86">
        <v>42795</v>
      </c>
      <c r="E39" s="86">
        <v>43100</v>
      </c>
      <c r="F39" s="84">
        <v>271499.45</v>
      </c>
      <c r="G39" s="84">
        <v>339374.31</v>
      </c>
      <c r="H39" s="86">
        <v>43100</v>
      </c>
      <c r="I39" s="37">
        <v>297346.27899999998</v>
      </c>
      <c r="J39" s="72"/>
      <c r="K39" s="45"/>
    </row>
    <row r="40" spans="1:11" x14ac:dyDescent="0.25">
      <c r="A40" s="115">
        <v>33</v>
      </c>
      <c r="B40" s="87" t="s">
        <v>580</v>
      </c>
      <c r="C40" s="85" t="str">
        <f>"O-17-119"</f>
        <v>O-17-119</v>
      </c>
      <c r="D40" s="86">
        <v>42732</v>
      </c>
      <c r="E40" s="86">
        <v>43100</v>
      </c>
      <c r="F40" s="84">
        <v>17497.63</v>
      </c>
      <c r="G40" s="84">
        <v>21872.04</v>
      </c>
      <c r="H40" s="86">
        <v>43042</v>
      </c>
      <c r="I40" s="37">
        <v>13853.088099999999</v>
      </c>
      <c r="J40" s="72"/>
      <c r="K40" s="45"/>
    </row>
    <row r="41" spans="1:11" ht="24" x14ac:dyDescent="0.25">
      <c r="A41" s="115">
        <v>34</v>
      </c>
      <c r="B41" s="87" t="s">
        <v>757</v>
      </c>
      <c r="C41" s="85" t="str">
        <f>"0-17-148"</f>
        <v>0-17-148</v>
      </c>
      <c r="D41" s="86">
        <v>42730</v>
      </c>
      <c r="E41" s="86">
        <v>43100</v>
      </c>
      <c r="F41" s="84">
        <v>30000</v>
      </c>
      <c r="G41" s="84">
        <v>37500</v>
      </c>
      <c r="H41" s="86">
        <v>43100</v>
      </c>
      <c r="I41" s="37">
        <v>43429.289999999994</v>
      </c>
      <c r="J41" s="72"/>
      <c r="K41" s="45"/>
    </row>
    <row r="42" spans="1:11" ht="24" x14ac:dyDescent="0.25">
      <c r="A42" s="115">
        <v>35</v>
      </c>
      <c r="B42" s="87" t="s">
        <v>758</v>
      </c>
      <c r="C42" s="85" t="str">
        <f>"  O-17-524"</f>
        <v>  O-17-524</v>
      </c>
      <c r="D42" s="86">
        <v>42804</v>
      </c>
      <c r="E42" s="86">
        <v>43100</v>
      </c>
      <c r="F42" s="84">
        <v>660000.19999999995</v>
      </c>
      <c r="G42" s="84">
        <v>825000.25</v>
      </c>
      <c r="H42" s="86">
        <v>43100</v>
      </c>
      <c r="I42" s="37">
        <v>1386820.4448999998</v>
      </c>
      <c r="J42" s="72"/>
      <c r="K42" s="45"/>
    </row>
    <row r="43" spans="1:11" ht="24" x14ac:dyDescent="0.25">
      <c r="A43" s="115">
        <v>36</v>
      </c>
      <c r="B43" s="87" t="s">
        <v>187</v>
      </c>
      <c r="C43" s="85" t="str">
        <f>"11/2015-U3"</f>
        <v>11/2015-U3</v>
      </c>
      <c r="D43" s="86">
        <v>42710</v>
      </c>
      <c r="E43" s="86">
        <v>43075</v>
      </c>
      <c r="F43" s="84">
        <v>4000</v>
      </c>
      <c r="G43" s="84">
        <v>5000</v>
      </c>
      <c r="H43" s="86">
        <v>42916</v>
      </c>
      <c r="I43" s="37">
        <v>944.53309999999988</v>
      </c>
      <c r="J43" s="72"/>
      <c r="K43" s="45"/>
    </row>
    <row r="44" spans="1:11" ht="36" x14ac:dyDescent="0.25">
      <c r="A44" s="115">
        <v>37</v>
      </c>
      <c r="B44" s="87" t="s">
        <v>708</v>
      </c>
      <c r="C44" s="85" t="str">
        <f>"O-16-401"</f>
        <v>O-16-401</v>
      </c>
      <c r="D44" s="86">
        <v>42538</v>
      </c>
      <c r="E44" s="86">
        <v>43268</v>
      </c>
      <c r="F44" s="84">
        <v>422536.55</v>
      </c>
      <c r="G44" s="84">
        <v>528170.68999999994</v>
      </c>
      <c r="H44" s="86">
        <v>43100</v>
      </c>
      <c r="I44" s="37">
        <v>920626.15330000001</v>
      </c>
      <c r="J44" s="72"/>
      <c r="K44" s="45"/>
    </row>
    <row r="45" spans="1:11" x14ac:dyDescent="0.25">
      <c r="A45" s="115">
        <v>38</v>
      </c>
      <c r="B45" s="87" t="s">
        <v>759</v>
      </c>
      <c r="C45" s="85" t="str">
        <f>"O-16-1001"</f>
        <v>O-16-1001</v>
      </c>
      <c r="D45" s="86">
        <v>42619</v>
      </c>
      <c r="E45" s="86">
        <v>43349</v>
      </c>
      <c r="F45" s="84">
        <v>19065.22</v>
      </c>
      <c r="G45" s="84">
        <v>23831.53</v>
      </c>
      <c r="H45" s="86">
        <v>43100</v>
      </c>
      <c r="I45" s="37">
        <v>124946.25829999999</v>
      </c>
      <c r="J45" s="72"/>
      <c r="K45" s="45"/>
    </row>
    <row r="46" spans="1:11" x14ac:dyDescent="0.25">
      <c r="A46" s="115">
        <v>39</v>
      </c>
      <c r="B46" s="87" t="s">
        <v>760</v>
      </c>
      <c r="C46" s="85" t="str">
        <f>"O-16-268"</f>
        <v>O-16-268</v>
      </c>
      <c r="D46" s="86">
        <v>42614</v>
      </c>
      <c r="E46" s="86">
        <v>43343</v>
      </c>
      <c r="F46" s="84">
        <v>77730.42</v>
      </c>
      <c r="G46" s="84">
        <v>97163.03</v>
      </c>
      <c r="H46" s="86">
        <v>43100</v>
      </c>
      <c r="I46" s="37">
        <v>102430.46589999998</v>
      </c>
      <c r="J46" s="72"/>
      <c r="K46" s="45"/>
    </row>
    <row r="47" spans="1:11" x14ac:dyDescent="0.25">
      <c r="A47" s="115">
        <v>40</v>
      </c>
      <c r="B47" s="87" t="s">
        <v>683</v>
      </c>
      <c r="C47" s="85" t="str">
        <f>"O-16-998"</f>
        <v>O-16-998</v>
      </c>
      <c r="D47" s="86">
        <v>42600</v>
      </c>
      <c r="E47" s="86">
        <v>43330</v>
      </c>
      <c r="F47" s="84">
        <v>16446.52</v>
      </c>
      <c r="G47" s="84">
        <v>20558.150000000001</v>
      </c>
      <c r="H47" s="86">
        <v>43100</v>
      </c>
      <c r="I47" s="37">
        <v>54696.316599999991</v>
      </c>
      <c r="J47" s="72"/>
      <c r="K47" s="45"/>
    </row>
    <row r="48" spans="1:11" ht="24" x14ac:dyDescent="0.25">
      <c r="A48" s="115">
        <v>41</v>
      </c>
      <c r="B48" s="87" t="s">
        <v>597</v>
      </c>
      <c r="C48" s="85" t="str">
        <f>"102101/2360"</f>
        <v>102101/2360</v>
      </c>
      <c r="D48" s="86">
        <v>42573</v>
      </c>
      <c r="E48" s="86">
        <v>42978</v>
      </c>
      <c r="F48" s="84">
        <v>114947.31</v>
      </c>
      <c r="G48" s="84">
        <v>143684.14000000001</v>
      </c>
      <c r="H48" s="86">
        <v>42978</v>
      </c>
      <c r="I48" s="37">
        <v>324372.40989999997</v>
      </c>
      <c r="J48" s="72"/>
      <c r="K48" s="45"/>
    </row>
    <row r="49" spans="1:11" ht="24" x14ac:dyDescent="0.25">
      <c r="A49" s="115">
        <v>42</v>
      </c>
      <c r="B49" s="87" t="s">
        <v>475</v>
      </c>
      <c r="C49" s="85" t="str">
        <f>"O-16-416/1"</f>
        <v>O-16-416/1</v>
      </c>
      <c r="D49" s="86">
        <v>42583</v>
      </c>
      <c r="E49" s="86">
        <v>43132</v>
      </c>
      <c r="F49" s="84">
        <v>184657.5</v>
      </c>
      <c r="G49" s="84">
        <v>230821.88</v>
      </c>
      <c r="H49" s="86">
        <v>43100</v>
      </c>
      <c r="I49" s="37">
        <v>153703.01809999999</v>
      </c>
      <c r="J49" s="72"/>
      <c r="K49" s="45"/>
    </row>
    <row r="50" spans="1:11" ht="24" x14ac:dyDescent="0.25">
      <c r="A50" s="115">
        <v>43</v>
      </c>
      <c r="B50" s="87" t="s">
        <v>761</v>
      </c>
      <c r="C50" s="85" t="str">
        <f>"19.07.2016-19.07.2018"</f>
        <v>19.07.2016-19.07.2018</v>
      </c>
      <c r="D50" s="86">
        <v>42570</v>
      </c>
      <c r="E50" s="86">
        <v>43300</v>
      </c>
      <c r="F50" s="84">
        <v>149213.03</v>
      </c>
      <c r="G50" s="84">
        <v>186516.29</v>
      </c>
      <c r="H50" s="86">
        <v>43100</v>
      </c>
      <c r="I50" s="37">
        <v>306826.23319999996</v>
      </c>
      <c r="J50" s="72"/>
      <c r="K50" s="45"/>
    </row>
    <row r="51" spans="1:11" ht="24" x14ac:dyDescent="0.25">
      <c r="A51" s="115">
        <v>44</v>
      </c>
      <c r="B51" s="87" t="s">
        <v>762</v>
      </c>
      <c r="C51" s="85" t="str">
        <f>"16-1586"</f>
        <v>16-1586</v>
      </c>
      <c r="D51" s="86">
        <v>42583</v>
      </c>
      <c r="E51" s="86">
        <v>43313</v>
      </c>
      <c r="F51" s="84">
        <v>8958.4500000000007</v>
      </c>
      <c r="G51" s="84">
        <v>11198.06</v>
      </c>
      <c r="H51" s="86">
        <v>43100</v>
      </c>
      <c r="I51" s="37">
        <v>10898.725699999999</v>
      </c>
      <c r="J51" s="72"/>
      <c r="K51" s="45"/>
    </row>
    <row r="52" spans="1:11" ht="24" x14ac:dyDescent="0.25">
      <c r="A52" s="115">
        <v>45</v>
      </c>
      <c r="B52" s="87" t="s">
        <v>763</v>
      </c>
      <c r="C52" s="85" t="str">
        <f>"O-16-1531"</f>
        <v>O-16-1531</v>
      </c>
      <c r="D52" s="86">
        <v>42531</v>
      </c>
      <c r="E52" s="86">
        <v>43312</v>
      </c>
      <c r="F52" s="84">
        <v>51935.69</v>
      </c>
      <c r="G52" s="84">
        <v>64919.61</v>
      </c>
      <c r="H52" s="86">
        <v>43100</v>
      </c>
      <c r="I52" s="37">
        <v>58211.9274</v>
      </c>
      <c r="J52" s="72"/>
      <c r="K52" s="45"/>
    </row>
    <row r="53" spans="1:11" ht="24" x14ac:dyDescent="0.25">
      <c r="A53" s="115">
        <v>46</v>
      </c>
      <c r="B53" s="87" t="s">
        <v>465</v>
      </c>
      <c r="C53" s="85" t="str">
        <f>"U13/16"</f>
        <v>U13/16</v>
      </c>
      <c r="D53" s="86">
        <v>42573</v>
      </c>
      <c r="E53" s="86">
        <v>43313</v>
      </c>
      <c r="F53" s="84">
        <v>1089785</v>
      </c>
      <c r="G53" s="84">
        <v>1362231.25</v>
      </c>
      <c r="H53" s="86">
        <v>42735</v>
      </c>
      <c r="I53" s="37">
        <v>0</v>
      </c>
      <c r="J53" s="72"/>
      <c r="K53" s="45"/>
    </row>
    <row r="54" spans="1:11" ht="24" x14ac:dyDescent="0.25">
      <c r="A54" s="115">
        <v>47</v>
      </c>
      <c r="B54" s="87" t="s">
        <v>764</v>
      </c>
      <c r="C54" s="85" t="str">
        <f>"O-16-1669"</f>
        <v>O-16-1669</v>
      </c>
      <c r="D54" s="86">
        <v>42578</v>
      </c>
      <c r="E54" s="86">
        <v>43100</v>
      </c>
      <c r="F54" s="84">
        <v>3663</v>
      </c>
      <c r="G54" s="84">
        <v>4578.75</v>
      </c>
      <c r="H54" s="86">
        <v>43100</v>
      </c>
      <c r="I54" s="37">
        <v>11009.589999999998</v>
      </c>
      <c r="J54" s="72"/>
      <c r="K54" s="45"/>
    </row>
    <row r="55" spans="1:11" ht="24" x14ac:dyDescent="0.25">
      <c r="A55" s="115">
        <v>48</v>
      </c>
      <c r="B55" s="87" t="s">
        <v>528</v>
      </c>
      <c r="C55" s="85" t="str">
        <f>"O-16-968"</f>
        <v>O-16-968</v>
      </c>
      <c r="D55" s="86">
        <v>42555</v>
      </c>
      <c r="E55" s="86">
        <v>42947</v>
      </c>
      <c r="F55" s="84">
        <v>127282.22</v>
      </c>
      <c r="G55" s="84">
        <v>159102.78</v>
      </c>
      <c r="H55" s="86">
        <v>43008</v>
      </c>
      <c r="I55" s="37">
        <v>273732.95149999997</v>
      </c>
      <c r="J55" s="72"/>
      <c r="K55" s="45"/>
    </row>
    <row r="56" spans="1:11" ht="24" x14ac:dyDescent="0.25">
      <c r="A56" s="115">
        <v>49</v>
      </c>
      <c r="B56" s="87" t="s">
        <v>765</v>
      </c>
      <c r="C56" s="85" t="str">
        <f>"O-16-986"</f>
        <v>O-16-986</v>
      </c>
      <c r="D56" s="86">
        <v>42552</v>
      </c>
      <c r="E56" s="86">
        <v>43312</v>
      </c>
      <c r="F56" s="84">
        <v>52880</v>
      </c>
      <c r="G56" s="84">
        <v>66100</v>
      </c>
      <c r="H56" s="86">
        <v>43100</v>
      </c>
      <c r="I56" s="37">
        <v>5733.0775999999996</v>
      </c>
      <c r="J56" s="72"/>
      <c r="K56" s="45"/>
    </row>
    <row r="57" spans="1:11" ht="24" x14ac:dyDescent="0.25">
      <c r="A57" s="115">
        <v>50</v>
      </c>
      <c r="B57" s="87" t="s">
        <v>766</v>
      </c>
      <c r="C57" s="85" t="str">
        <f>"0-16-1603"</f>
        <v>0-16-1603</v>
      </c>
      <c r="D57" s="86">
        <v>42824</v>
      </c>
      <c r="E57" s="86">
        <v>43313</v>
      </c>
      <c r="F57" s="84">
        <v>79519.789999999994</v>
      </c>
      <c r="G57" s="84">
        <v>99399.74</v>
      </c>
      <c r="H57" s="86">
        <v>43100</v>
      </c>
      <c r="I57" s="37">
        <v>140265.99599999998</v>
      </c>
      <c r="J57" s="72"/>
      <c r="K57" s="45"/>
    </row>
    <row r="58" spans="1:11" ht="24" x14ac:dyDescent="0.25">
      <c r="A58" s="115">
        <v>51</v>
      </c>
      <c r="B58" s="87" t="s">
        <v>767</v>
      </c>
      <c r="C58" s="85" t="str">
        <f>"O-16-984"</f>
        <v>O-16-984</v>
      </c>
      <c r="D58" s="86">
        <v>42569</v>
      </c>
      <c r="E58" s="86">
        <v>43313</v>
      </c>
      <c r="F58" s="84">
        <v>36794.410000000003</v>
      </c>
      <c r="G58" s="84">
        <v>45993.01</v>
      </c>
      <c r="H58" s="86">
        <v>43100</v>
      </c>
      <c r="I58" s="37">
        <v>136917.77209999997</v>
      </c>
      <c r="J58" s="72"/>
      <c r="K58" s="45"/>
    </row>
    <row r="59" spans="1:11" x14ac:dyDescent="0.25">
      <c r="A59" s="115">
        <v>52</v>
      </c>
      <c r="B59" s="87" t="s">
        <v>473</v>
      </c>
      <c r="C59" s="85" t="str">
        <f>"O-16-1587"</f>
        <v>O-16-1587</v>
      </c>
      <c r="D59" s="86">
        <v>42571</v>
      </c>
      <c r="E59" s="86">
        <v>43331</v>
      </c>
      <c r="F59" s="84">
        <v>24638.99</v>
      </c>
      <c r="G59" s="84">
        <v>30798.74</v>
      </c>
      <c r="H59" s="86">
        <v>43100</v>
      </c>
      <c r="I59" s="37">
        <v>25178.908599999999</v>
      </c>
      <c r="J59" s="72"/>
      <c r="K59" s="45"/>
    </row>
    <row r="60" spans="1:11" ht="36" x14ac:dyDescent="0.25">
      <c r="A60" s="115">
        <v>53</v>
      </c>
      <c r="B60" s="87" t="s">
        <v>518</v>
      </c>
      <c r="C60" s="85" t="str">
        <f>"ANEKS STRUJA-1-2016"</f>
        <v>ANEKS STRUJA-1-2016</v>
      </c>
      <c r="D60" s="86">
        <v>42569</v>
      </c>
      <c r="E60" s="86">
        <v>43100</v>
      </c>
      <c r="F60" s="84">
        <v>265250.11</v>
      </c>
      <c r="G60" s="84">
        <v>331562.64</v>
      </c>
      <c r="H60" s="86">
        <v>43100</v>
      </c>
      <c r="I60" s="37">
        <v>43559.929299999996</v>
      </c>
      <c r="J60" s="72"/>
      <c r="K60" s="45"/>
    </row>
    <row r="61" spans="1:11" ht="24" x14ac:dyDescent="0.25">
      <c r="A61" s="115">
        <v>54</v>
      </c>
      <c r="B61" s="87" t="s">
        <v>678</v>
      </c>
      <c r="C61" s="85" t="str">
        <f>"O-16-412"</f>
        <v>O-16-412</v>
      </c>
      <c r="D61" s="86">
        <v>42569</v>
      </c>
      <c r="E61" s="86">
        <v>43313</v>
      </c>
      <c r="F61" s="84">
        <v>192657.74</v>
      </c>
      <c r="G61" s="84">
        <v>240822.18</v>
      </c>
      <c r="H61" s="86">
        <v>43100</v>
      </c>
      <c r="I61" s="37">
        <v>336671.05869999994</v>
      </c>
      <c r="J61" s="72"/>
      <c r="K61" s="45"/>
    </row>
    <row r="62" spans="1:11" ht="24" x14ac:dyDescent="0.25">
      <c r="A62" s="115">
        <v>55</v>
      </c>
      <c r="B62" s="87" t="s">
        <v>540</v>
      </c>
      <c r="C62" s="85" t="str">
        <f>"07/2016"</f>
        <v>07/2016</v>
      </c>
      <c r="D62" s="86">
        <v>42571</v>
      </c>
      <c r="E62" s="86">
        <v>43100</v>
      </c>
      <c r="F62" s="84">
        <v>480002.61</v>
      </c>
      <c r="G62" s="84">
        <v>600003.26</v>
      </c>
      <c r="H62" s="86">
        <v>43100</v>
      </c>
      <c r="I62" s="37">
        <v>671415.86289999983</v>
      </c>
      <c r="J62" s="72"/>
      <c r="K62" s="45"/>
    </row>
    <row r="63" spans="1:11" ht="36" x14ac:dyDescent="0.25">
      <c r="A63" s="115">
        <v>56</v>
      </c>
      <c r="B63" s="87" t="s">
        <v>768</v>
      </c>
      <c r="C63" s="85" t="str">
        <f>"O-16-808"</f>
        <v>O-16-808</v>
      </c>
      <c r="D63" s="86">
        <v>42384</v>
      </c>
      <c r="E63" s="86">
        <v>43100</v>
      </c>
      <c r="F63" s="84">
        <v>84975.9</v>
      </c>
      <c r="G63" s="84">
        <v>106219.88</v>
      </c>
      <c r="H63" s="86">
        <v>43100</v>
      </c>
      <c r="I63" s="37">
        <v>527052.79200000002</v>
      </c>
      <c r="J63" s="72"/>
      <c r="K63" s="45"/>
    </row>
    <row r="64" spans="1:11" ht="24" x14ac:dyDescent="0.25">
      <c r="A64" s="115">
        <v>57</v>
      </c>
      <c r="B64" s="87" t="s">
        <v>538</v>
      </c>
      <c r="C64" s="85" t="str">
        <f>"O-16-382"</f>
        <v>O-16-382</v>
      </c>
      <c r="D64" s="86">
        <v>42537</v>
      </c>
      <c r="E64" s="86">
        <v>43281</v>
      </c>
      <c r="F64" s="84">
        <v>391486.71999999997</v>
      </c>
      <c r="G64" s="84">
        <v>489358.4</v>
      </c>
      <c r="H64" s="86">
        <v>43100</v>
      </c>
      <c r="I64" s="37">
        <v>341370.26539999997</v>
      </c>
      <c r="J64" s="72"/>
      <c r="K64" s="45"/>
    </row>
    <row r="65" spans="1:11" ht="36" x14ac:dyDescent="0.25">
      <c r="A65" s="115">
        <v>58</v>
      </c>
      <c r="B65" s="87" t="s">
        <v>769</v>
      </c>
      <c r="C65" s="85" t="str">
        <f>"O-16-800"</f>
        <v>O-16-800</v>
      </c>
      <c r="D65" s="86">
        <v>42535</v>
      </c>
      <c r="E65" s="86">
        <v>43281</v>
      </c>
      <c r="F65" s="84">
        <v>70693.63</v>
      </c>
      <c r="G65" s="84">
        <v>88367.039999999994</v>
      </c>
      <c r="H65" s="86">
        <v>43100</v>
      </c>
      <c r="I65" s="37">
        <v>106372.663</v>
      </c>
      <c r="J65" s="72"/>
      <c r="K65" s="45"/>
    </row>
    <row r="66" spans="1:11" ht="24" x14ac:dyDescent="0.25">
      <c r="A66" s="115">
        <v>59</v>
      </c>
      <c r="B66" s="87" t="s">
        <v>568</v>
      </c>
      <c r="C66" s="85" t="str">
        <f>"O-16-990"</f>
        <v>O-16-990</v>
      </c>
      <c r="D66" s="86">
        <v>42510</v>
      </c>
      <c r="E66" s="86">
        <v>43240</v>
      </c>
      <c r="F66" s="84">
        <v>120728.37</v>
      </c>
      <c r="G66" s="84">
        <v>150910.46</v>
      </c>
      <c r="H66" s="86">
        <v>43100</v>
      </c>
      <c r="I66" s="37">
        <v>269800.21249999997</v>
      </c>
      <c r="J66" s="72"/>
      <c r="K66" s="45"/>
    </row>
    <row r="67" spans="1:11" ht="24" x14ac:dyDescent="0.25">
      <c r="A67" s="115">
        <v>60</v>
      </c>
      <c r="B67" s="87" t="s">
        <v>770</v>
      </c>
      <c r="C67" s="85" t="str">
        <f>"I-205/16"</f>
        <v>I-205/16</v>
      </c>
      <c r="D67" s="86">
        <v>42849</v>
      </c>
      <c r="E67" s="86">
        <v>43160</v>
      </c>
      <c r="F67" s="84">
        <v>504600</v>
      </c>
      <c r="G67" s="84">
        <v>630750</v>
      </c>
      <c r="H67" s="86">
        <v>43008</v>
      </c>
      <c r="I67" s="37">
        <v>582930.18459999992</v>
      </c>
      <c r="J67" s="72"/>
      <c r="K67" s="45"/>
    </row>
    <row r="68" spans="1:11" ht="24" x14ac:dyDescent="0.25">
      <c r="A68" s="115">
        <v>61</v>
      </c>
      <c r="B68" s="87" t="s">
        <v>771</v>
      </c>
      <c r="C68" s="85" t="str">
        <f>"I-002/2016"</f>
        <v>I-002/2016</v>
      </c>
      <c r="D68" s="86">
        <v>42534</v>
      </c>
      <c r="E68" s="86">
        <v>43281</v>
      </c>
      <c r="F68" s="84">
        <v>43643.58</v>
      </c>
      <c r="G68" s="84">
        <v>54554.48</v>
      </c>
      <c r="H68" s="86">
        <v>43100</v>
      </c>
      <c r="I68" s="37">
        <v>73339.203499999989</v>
      </c>
      <c r="J68" s="72"/>
      <c r="K68" s="45"/>
    </row>
    <row r="69" spans="1:11" x14ac:dyDescent="0.25">
      <c r="A69" s="115">
        <v>62</v>
      </c>
      <c r="B69" s="87" t="s">
        <v>613</v>
      </c>
      <c r="C69" s="85" t="str">
        <f>"O-16-1492"</f>
        <v>O-16-1492</v>
      </c>
      <c r="D69" s="86">
        <v>42839</v>
      </c>
      <c r="E69" s="86">
        <v>43281</v>
      </c>
      <c r="F69" s="84">
        <v>716068.08</v>
      </c>
      <c r="G69" s="84">
        <v>895085.1</v>
      </c>
      <c r="H69" s="86">
        <v>43100</v>
      </c>
      <c r="I69" s="37">
        <v>581234.65350000001</v>
      </c>
      <c r="J69" s="72"/>
      <c r="K69" s="45"/>
    </row>
    <row r="70" spans="1:11" ht="36" x14ac:dyDescent="0.25">
      <c r="A70" s="115">
        <v>63</v>
      </c>
      <c r="B70" s="87" t="s">
        <v>772</v>
      </c>
      <c r="C70" s="85" t="str">
        <f>"06-245/16"</f>
        <v>06-245/16</v>
      </c>
      <c r="D70" s="86">
        <v>42524</v>
      </c>
      <c r="E70" s="86">
        <v>43254</v>
      </c>
      <c r="F70" s="84">
        <v>0</v>
      </c>
      <c r="G70" s="84">
        <v>0</v>
      </c>
      <c r="H70" s="86">
        <v>43100</v>
      </c>
      <c r="I70" s="37">
        <v>10265.0556</v>
      </c>
      <c r="J70" s="72"/>
      <c r="K70" s="45"/>
    </row>
    <row r="71" spans="1:11" x14ac:dyDescent="0.25">
      <c r="A71" s="115">
        <v>64</v>
      </c>
      <c r="B71" s="87" t="s">
        <v>773</v>
      </c>
      <c r="C71" s="85" t="str">
        <f>"O-16-269"</f>
        <v>O-16-269</v>
      </c>
      <c r="D71" s="86">
        <v>42506</v>
      </c>
      <c r="E71" s="86">
        <v>43250</v>
      </c>
      <c r="F71" s="84">
        <v>17915.599999999999</v>
      </c>
      <c r="G71" s="84">
        <v>22394.5</v>
      </c>
      <c r="H71" s="86">
        <v>43100</v>
      </c>
      <c r="I71" s="37">
        <v>33185.749599999996</v>
      </c>
      <c r="J71" s="72"/>
      <c r="K71" s="45"/>
    </row>
    <row r="72" spans="1:11" x14ac:dyDescent="0.25">
      <c r="A72" s="115">
        <v>65</v>
      </c>
      <c r="B72" s="87" t="s">
        <v>774</v>
      </c>
      <c r="C72" s="85" t="str">
        <f>"O-16-520"</f>
        <v>O-16-520</v>
      </c>
      <c r="D72" s="86">
        <v>42502</v>
      </c>
      <c r="E72" s="86">
        <v>43111</v>
      </c>
      <c r="F72" s="84">
        <v>64030.11</v>
      </c>
      <c r="G72" s="84">
        <v>80037.64</v>
      </c>
      <c r="H72" s="86">
        <v>43100</v>
      </c>
      <c r="I72" s="37">
        <v>136140.78409999999</v>
      </c>
      <c r="J72" s="72"/>
      <c r="K72" s="45"/>
    </row>
    <row r="73" spans="1:11" ht="36" x14ac:dyDescent="0.25">
      <c r="A73" s="115">
        <v>66</v>
      </c>
      <c r="B73" s="87" t="s">
        <v>775</v>
      </c>
      <c r="C73" s="85" t="str">
        <f>"0-16-989"</f>
        <v>0-16-989</v>
      </c>
      <c r="D73" s="86">
        <v>42506</v>
      </c>
      <c r="E73" s="86">
        <v>43236</v>
      </c>
      <c r="F73" s="84">
        <v>1292586.04</v>
      </c>
      <c r="G73" s="84">
        <v>1615732.55</v>
      </c>
      <c r="H73" s="86">
        <v>43100</v>
      </c>
      <c r="I73" s="37">
        <v>1355452.5828</v>
      </c>
      <c r="J73" s="72"/>
      <c r="K73" s="45"/>
    </row>
    <row r="74" spans="1:11" ht="36" x14ac:dyDescent="0.25">
      <c r="A74" s="115">
        <v>67</v>
      </c>
      <c r="B74" s="87" t="s">
        <v>776</v>
      </c>
      <c r="C74" s="85" t="str">
        <f>"O-16-1333"</f>
        <v>O-16-1333</v>
      </c>
      <c r="D74" s="86">
        <v>42508</v>
      </c>
      <c r="E74" s="86">
        <v>43252</v>
      </c>
      <c r="F74" s="84">
        <v>363675.31</v>
      </c>
      <c r="G74" s="84">
        <v>454594.14</v>
      </c>
      <c r="H74" s="86">
        <v>43100</v>
      </c>
      <c r="I74" s="37">
        <v>615005.46059999999</v>
      </c>
      <c r="J74" s="72"/>
      <c r="K74" s="45"/>
    </row>
    <row r="75" spans="1:11" ht="24" x14ac:dyDescent="0.25">
      <c r="A75" s="115">
        <v>68</v>
      </c>
      <c r="B75" s="87" t="s">
        <v>777</v>
      </c>
      <c r="C75" s="85" t="str">
        <f>"O-16-1369"</f>
        <v>O-16-1369</v>
      </c>
      <c r="D75" s="86">
        <v>42503</v>
      </c>
      <c r="E75" s="86">
        <v>43251</v>
      </c>
      <c r="F75" s="84">
        <v>11510.87</v>
      </c>
      <c r="G75" s="84">
        <v>14388.59</v>
      </c>
      <c r="H75" s="86">
        <v>43100</v>
      </c>
      <c r="I75" s="37">
        <v>67682.095799999996</v>
      </c>
      <c r="J75" s="72"/>
      <c r="K75" s="45"/>
    </row>
    <row r="76" spans="1:11" ht="24" x14ac:dyDescent="0.25">
      <c r="A76" s="115">
        <v>69</v>
      </c>
      <c r="B76" s="87" t="s">
        <v>778</v>
      </c>
      <c r="C76" s="85" t="str">
        <f>"O-16-1360"</f>
        <v>O-16-1360</v>
      </c>
      <c r="D76" s="86">
        <v>42522</v>
      </c>
      <c r="E76" s="86">
        <v>43251</v>
      </c>
      <c r="F76" s="84">
        <v>140924.46</v>
      </c>
      <c r="G76" s="84">
        <v>176155.58</v>
      </c>
      <c r="H76" s="86">
        <v>43100</v>
      </c>
      <c r="I76" s="37">
        <v>276671.79899999994</v>
      </c>
      <c r="J76" s="72"/>
      <c r="K76" s="45"/>
    </row>
    <row r="77" spans="1:11" ht="24" x14ac:dyDescent="0.25">
      <c r="A77" s="115">
        <v>70</v>
      </c>
      <c r="B77" s="87" t="s">
        <v>666</v>
      </c>
      <c r="C77" s="85" t="str">
        <f>"U-76-16"</f>
        <v>U-76-16</v>
      </c>
      <c r="D77" s="86">
        <v>42937</v>
      </c>
      <c r="E77" s="86">
        <v>43252</v>
      </c>
      <c r="F77" s="84">
        <v>190288.1</v>
      </c>
      <c r="G77" s="84">
        <v>237860.13</v>
      </c>
      <c r="H77" s="86">
        <v>43100</v>
      </c>
      <c r="I77" s="37">
        <v>571588.19380000001</v>
      </c>
      <c r="J77" s="72"/>
      <c r="K77" s="45"/>
    </row>
    <row r="78" spans="1:11" ht="24" x14ac:dyDescent="0.25">
      <c r="A78" s="115">
        <v>71</v>
      </c>
      <c r="B78" s="87" t="s">
        <v>513</v>
      </c>
      <c r="C78" s="85" t="str">
        <f>"0-16-1332"</f>
        <v>0-16-1332</v>
      </c>
      <c r="D78" s="86">
        <v>42494</v>
      </c>
      <c r="E78" s="86">
        <v>43252</v>
      </c>
      <c r="F78" s="84">
        <v>1177200</v>
      </c>
      <c r="G78" s="84">
        <v>1471500</v>
      </c>
      <c r="H78" s="86">
        <v>43100</v>
      </c>
      <c r="I78" s="37">
        <v>260434.24139999997</v>
      </c>
      <c r="J78" s="72"/>
      <c r="K78" s="45"/>
    </row>
    <row r="79" spans="1:11" ht="24" x14ac:dyDescent="0.25">
      <c r="A79" s="115">
        <v>72</v>
      </c>
      <c r="B79" s="87" t="s">
        <v>587</v>
      </c>
      <c r="C79" s="85" t="str">
        <f>"406-09/15-02/12"</f>
        <v>406-09/15-02/12</v>
      </c>
      <c r="D79" s="86">
        <v>42501</v>
      </c>
      <c r="E79" s="86">
        <v>43231</v>
      </c>
      <c r="F79" s="84">
        <v>800000</v>
      </c>
      <c r="G79" s="84">
        <v>1000000</v>
      </c>
      <c r="H79" s="86">
        <v>43100</v>
      </c>
      <c r="I79" s="37">
        <v>573054.86599999992</v>
      </c>
      <c r="J79" s="72"/>
      <c r="K79" s="45"/>
    </row>
    <row r="80" spans="1:11" ht="24" x14ac:dyDescent="0.25">
      <c r="A80" s="115">
        <v>73</v>
      </c>
      <c r="B80" s="87" t="s">
        <v>779</v>
      </c>
      <c r="C80" s="85" t="str">
        <f>"O-16-1467"</f>
        <v>O-16-1467</v>
      </c>
      <c r="D80" s="86">
        <v>42490</v>
      </c>
      <c r="E80" s="86">
        <v>43220</v>
      </c>
      <c r="F80" s="84">
        <v>89060</v>
      </c>
      <c r="G80" s="84">
        <v>111325</v>
      </c>
      <c r="H80" s="86">
        <v>43100</v>
      </c>
      <c r="I80" s="37">
        <v>202093.21149999998</v>
      </c>
      <c r="J80" s="72"/>
      <c r="K80" s="45"/>
    </row>
    <row r="81" spans="1:11" ht="24" x14ac:dyDescent="0.25">
      <c r="A81" s="115">
        <v>74</v>
      </c>
      <c r="B81" s="87" t="s">
        <v>750</v>
      </c>
      <c r="C81" s="85" t="str">
        <f>"O-16-805"</f>
        <v>O-16-805</v>
      </c>
      <c r="D81" s="86">
        <v>42482</v>
      </c>
      <c r="E81" s="86">
        <v>43220</v>
      </c>
      <c r="F81" s="84">
        <v>1065953.78</v>
      </c>
      <c r="G81" s="84">
        <v>1332442.23</v>
      </c>
      <c r="H81" s="86">
        <v>43100</v>
      </c>
      <c r="I81" s="37">
        <v>1131326.8572999998</v>
      </c>
      <c r="J81" s="72"/>
      <c r="K81" s="45"/>
    </row>
    <row r="82" spans="1:11" x14ac:dyDescent="0.25">
      <c r="A82" s="115">
        <v>75</v>
      </c>
      <c r="B82" s="87" t="s">
        <v>699</v>
      </c>
      <c r="C82" s="85" t="str">
        <f>"O-16-799"</f>
        <v>O-16-799</v>
      </c>
      <c r="D82" s="86">
        <v>42473</v>
      </c>
      <c r="E82" s="86">
        <v>43220</v>
      </c>
      <c r="F82" s="84">
        <v>158274.63</v>
      </c>
      <c r="G82" s="84">
        <v>197843.29</v>
      </c>
      <c r="H82" s="86">
        <v>43100</v>
      </c>
      <c r="I82" s="37">
        <v>171585.42629999999</v>
      </c>
      <c r="J82" s="72"/>
      <c r="K82" s="45"/>
    </row>
    <row r="83" spans="1:11" ht="24" x14ac:dyDescent="0.25">
      <c r="A83" s="115">
        <v>76</v>
      </c>
      <c r="B83" s="87" t="s">
        <v>652</v>
      </c>
      <c r="C83" s="85" t="str">
        <f>"O-16-870"</f>
        <v>O-16-870</v>
      </c>
      <c r="D83" s="86">
        <v>42509</v>
      </c>
      <c r="E83" s="86">
        <v>43220</v>
      </c>
      <c r="F83" s="84">
        <v>224683.61</v>
      </c>
      <c r="G83" s="84">
        <v>280854.51</v>
      </c>
      <c r="H83" s="86">
        <v>43100</v>
      </c>
      <c r="I83" s="37">
        <v>332744.27480000001</v>
      </c>
      <c r="J83" s="72"/>
      <c r="K83" s="45"/>
    </row>
    <row r="84" spans="1:11" ht="24" x14ac:dyDescent="0.25">
      <c r="A84" s="115">
        <v>77</v>
      </c>
      <c r="B84" s="87" t="s">
        <v>780</v>
      </c>
      <c r="C84" s="85" t="str">
        <f>"1/2016-2017"</f>
        <v>1/2016-2017</v>
      </c>
      <c r="D84" s="86">
        <v>42615</v>
      </c>
      <c r="E84" s="86">
        <v>42856</v>
      </c>
      <c r="F84" s="84">
        <v>45339.71</v>
      </c>
      <c r="G84" s="84">
        <v>56674.64</v>
      </c>
      <c r="H84" s="86">
        <v>42825</v>
      </c>
      <c r="I84" s="37">
        <v>110344.2401</v>
      </c>
      <c r="J84" s="72"/>
      <c r="K84" s="45"/>
    </row>
    <row r="85" spans="1:11" ht="24" x14ac:dyDescent="0.25">
      <c r="A85" s="115">
        <v>78</v>
      </c>
      <c r="B85" s="87" t="s">
        <v>781</v>
      </c>
      <c r="C85" s="85" t="str">
        <f>"O-16-992"</f>
        <v>O-16-992</v>
      </c>
      <c r="D85" s="86">
        <v>42513</v>
      </c>
      <c r="E85" s="86">
        <v>43220</v>
      </c>
      <c r="F85" s="84">
        <v>113675.04</v>
      </c>
      <c r="G85" s="84">
        <v>142093.79999999999</v>
      </c>
      <c r="H85" s="86">
        <v>43100</v>
      </c>
      <c r="I85" s="37">
        <v>125646.95999999999</v>
      </c>
      <c r="J85" s="72"/>
      <c r="K85" s="45"/>
    </row>
    <row r="86" spans="1:11" ht="36" x14ac:dyDescent="0.25">
      <c r="A86" s="115">
        <v>79</v>
      </c>
      <c r="B86" s="87" t="s">
        <v>782</v>
      </c>
      <c r="C86" s="85" t="str">
        <f>"O-16-385"</f>
        <v>O-16-385</v>
      </c>
      <c r="D86" s="86">
        <v>42482</v>
      </c>
      <c r="E86" s="86">
        <v>43220</v>
      </c>
      <c r="F86" s="84">
        <v>264000</v>
      </c>
      <c r="G86" s="84">
        <v>330000</v>
      </c>
      <c r="H86" s="86">
        <v>43100</v>
      </c>
      <c r="I86" s="37">
        <v>143176.53699999998</v>
      </c>
      <c r="J86" s="72"/>
      <c r="K86" s="45"/>
    </row>
    <row r="87" spans="1:11" ht="36" x14ac:dyDescent="0.25">
      <c r="A87" s="115">
        <v>80</v>
      </c>
      <c r="B87" s="87" t="s">
        <v>519</v>
      </c>
      <c r="C87" s="85" t="str">
        <f>"O-16-961"</f>
        <v>O-16-961</v>
      </c>
      <c r="D87" s="86">
        <v>42491</v>
      </c>
      <c r="E87" s="86">
        <v>43220</v>
      </c>
      <c r="F87" s="84">
        <v>388443.35</v>
      </c>
      <c r="G87" s="84">
        <v>485554.19</v>
      </c>
      <c r="H87" s="86">
        <v>43100</v>
      </c>
      <c r="I87" s="37">
        <v>1875797.4913999999</v>
      </c>
      <c r="J87" s="72"/>
      <c r="K87" s="45"/>
    </row>
    <row r="88" spans="1:11" ht="24" x14ac:dyDescent="0.25">
      <c r="A88" s="115">
        <v>81</v>
      </c>
      <c r="B88" s="87" t="s">
        <v>783</v>
      </c>
      <c r="C88" s="85" t="str">
        <f>"MFS/HEP-2016"</f>
        <v>MFS/HEP-2016</v>
      </c>
      <c r="D88" s="86">
        <v>42458</v>
      </c>
      <c r="E88" s="86">
        <v>43220</v>
      </c>
      <c r="F88" s="84">
        <v>400494.06</v>
      </c>
      <c r="G88" s="84">
        <v>500617.58</v>
      </c>
      <c r="H88" s="86">
        <v>43100</v>
      </c>
      <c r="I88" s="37">
        <v>754290.33409999986</v>
      </c>
      <c r="J88" s="72"/>
      <c r="K88" s="45"/>
    </row>
    <row r="89" spans="1:11" x14ac:dyDescent="0.25">
      <c r="A89" s="115">
        <v>82</v>
      </c>
      <c r="B89" s="87" t="s">
        <v>520</v>
      </c>
      <c r="C89" s="85" t="str">
        <f>"O-16-966"</f>
        <v>O-16-966</v>
      </c>
      <c r="D89" s="86">
        <v>42466</v>
      </c>
      <c r="E89" s="86">
        <v>43221</v>
      </c>
      <c r="F89" s="84">
        <v>135939.22</v>
      </c>
      <c r="G89" s="84">
        <v>169924.03</v>
      </c>
      <c r="H89" s="86">
        <v>43100</v>
      </c>
      <c r="I89" s="37">
        <v>304648.20339999994</v>
      </c>
      <c r="J89" s="72"/>
      <c r="K89" s="45"/>
    </row>
    <row r="90" spans="1:11" ht="24" x14ac:dyDescent="0.25">
      <c r="A90" s="115">
        <v>83</v>
      </c>
      <c r="B90" s="87" t="s">
        <v>562</v>
      </c>
      <c r="C90" s="85" t="str">
        <f>"O-16-387"</f>
        <v>O-16-387</v>
      </c>
      <c r="D90" s="86">
        <v>42489</v>
      </c>
      <c r="E90" s="86">
        <v>43221</v>
      </c>
      <c r="F90" s="84">
        <v>9663.67</v>
      </c>
      <c r="G90" s="84">
        <v>12079.59</v>
      </c>
      <c r="H90" s="86">
        <v>43100</v>
      </c>
      <c r="I90" s="37">
        <v>18848.445199999998</v>
      </c>
      <c r="J90" s="72"/>
      <c r="K90" s="45"/>
    </row>
    <row r="91" spans="1:11" x14ac:dyDescent="0.25">
      <c r="A91" s="115">
        <v>84</v>
      </c>
      <c r="B91" s="87" t="s">
        <v>643</v>
      </c>
      <c r="C91" s="85" t="str">
        <f>"O-16-638"</f>
        <v>O-16-638</v>
      </c>
      <c r="D91" s="86">
        <v>42438</v>
      </c>
      <c r="E91" s="86">
        <v>43191</v>
      </c>
      <c r="F91" s="84">
        <v>58644.34</v>
      </c>
      <c r="G91" s="84">
        <v>73305.429999999993</v>
      </c>
      <c r="H91" s="86">
        <v>43100</v>
      </c>
      <c r="I91" s="37">
        <v>70840.42319999999</v>
      </c>
      <c r="J91" s="72"/>
      <c r="K91" s="45"/>
    </row>
    <row r="92" spans="1:11" ht="24" x14ac:dyDescent="0.25">
      <c r="A92" s="115">
        <v>85</v>
      </c>
      <c r="B92" s="87" t="s">
        <v>784</v>
      </c>
      <c r="C92" s="85" t="str">
        <f>"O-16-257"</f>
        <v>O-16-257</v>
      </c>
      <c r="D92" s="86">
        <v>42432</v>
      </c>
      <c r="E92" s="86">
        <v>43162</v>
      </c>
      <c r="F92" s="84">
        <v>14409.7</v>
      </c>
      <c r="G92" s="84">
        <v>18012.13</v>
      </c>
      <c r="H92" s="86">
        <v>43100</v>
      </c>
      <c r="I92" s="37">
        <v>24359.873299999999</v>
      </c>
      <c r="J92" s="72"/>
      <c r="K92" s="45"/>
    </row>
    <row r="93" spans="1:11" x14ac:dyDescent="0.25">
      <c r="A93" s="115">
        <v>86</v>
      </c>
      <c r="B93" s="87" t="s">
        <v>560</v>
      </c>
      <c r="C93" s="85" t="str">
        <f>"O-16_985"</f>
        <v>O-16_985</v>
      </c>
      <c r="D93" s="86">
        <v>42444</v>
      </c>
      <c r="E93" s="86">
        <v>43190</v>
      </c>
      <c r="F93" s="84">
        <v>76624.83</v>
      </c>
      <c r="G93" s="84">
        <v>95781.04</v>
      </c>
      <c r="H93" s="86">
        <v>43100</v>
      </c>
      <c r="I93" s="37">
        <v>179420.78979999997</v>
      </c>
      <c r="J93" s="72"/>
      <c r="K93" s="45"/>
    </row>
    <row r="94" spans="1:11" x14ac:dyDescent="0.25">
      <c r="A94" s="115">
        <v>87</v>
      </c>
      <c r="B94" s="87" t="s">
        <v>752</v>
      </c>
      <c r="C94" s="85" t="str">
        <f>"O-16-8003"</f>
        <v>O-16-8003</v>
      </c>
      <c r="D94" s="86">
        <v>42461</v>
      </c>
      <c r="E94" s="86">
        <v>43191</v>
      </c>
      <c r="F94" s="84">
        <v>52239.839999999997</v>
      </c>
      <c r="G94" s="84">
        <v>65299.8</v>
      </c>
      <c r="H94" s="86">
        <v>43100</v>
      </c>
      <c r="I94" s="37">
        <v>183776.09229999996</v>
      </c>
      <c r="J94" s="72"/>
      <c r="K94" s="45"/>
    </row>
    <row r="95" spans="1:11" ht="24" x14ac:dyDescent="0.25">
      <c r="A95" s="115">
        <v>88</v>
      </c>
      <c r="B95" s="87" t="s">
        <v>785</v>
      </c>
      <c r="C95" s="85" t="str">
        <f>"O-16-587"</f>
        <v>O-16-587</v>
      </c>
      <c r="D95" s="86">
        <v>42461</v>
      </c>
      <c r="E95" s="86">
        <v>43191</v>
      </c>
      <c r="F95" s="84">
        <v>13373.78</v>
      </c>
      <c r="G95" s="84">
        <v>16717.23</v>
      </c>
      <c r="H95" s="86">
        <v>43100</v>
      </c>
      <c r="I95" s="37">
        <v>28285.8436</v>
      </c>
      <c r="J95" s="72"/>
      <c r="K95" s="45"/>
    </row>
    <row r="96" spans="1:11" ht="24" x14ac:dyDescent="0.25">
      <c r="A96" s="115">
        <v>89</v>
      </c>
      <c r="B96" s="87" t="s">
        <v>525</v>
      </c>
      <c r="C96" s="85" t="str">
        <f>"08/16-DUSJN"</f>
        <v>08/16-DUSJN</v>
      </c>
      <c r="D96" s="86">
        <v>42438</v>
      </c>
      <c r="E96" s="86">
        <v>43191</v>
      </c>
      <c r="F96" s="84">
        <v>74103.11</v>
      </c>
      <c r="G96" s="84">
        <v>92628.89</v>
      </c>
      <c r="H96" s="86">
        <v>43100</v>
      </c>
      <c r="I96" s="37">
        <v>232921.83759999997</v>
      </c>
      <c r="J96" s="72"/>
      <c r="K96" s="45"/>
    </row>
    <row r="97" spans="1:11" ht="24" x14ac:dyDescent="0.25">
      <c r="A97" s="115">
        <v>90</v>
      </c>
      <c r="B97" s="87" t="s">
        <v>786</v>
      </c>
      <c r="C97" s="85" t="str">
        <f>"O-16-544"</f>
        <v>O-16-544</v>
      </c>
      <c r="D97" s="86">
        <v>42461</v>
      </c>
      <c r="E97" s="86">
        <v>43191</v>
      </c>
      <c r="F97" s="84">
        <v>101632.09</v>
      </c>
      <c r="G97" s="84">
        <v>127040.11</v>
      </c>
      <c r="H97" s="86">
        <v>43100</v>
      </c>
      <c r="I97" s="37">
        <v>544522.56939999992</v>
      </c>
      <c r="J97" s="72"/>
      <c r="K97" s="45"/>
    </row>
    <row r="98" spans="1:11" ht="24" x14ac:dyDescent="0.25">
      <c r="A98" s="115">
        <v>91</v>
      </c>
      <c r="B98" s="87" t="s">
        <v>493</v>
      </c>
      <c r="C98" s="85" t="str">
        <f>"O-16-1130"</f>
        <v>O-16-1130</v>
      </c>
      <c r="D98" s="86">
        <v>42447</v>
      </c>
      <c r="E98" s="86">
        <v>43069</v>
      </c>
      <c r="F98" s="84">
        <v>33824.379999999997</v>
      </c>
      <c r="G98" s="84">
        <v>42280.480000000003</v>
      </c>
      <c r="H98" s="86">
        <v>43069</v>
      </c>
      <c r="I98" s="37">
        <v>39538.236699999994</v>
      </c>
      <c r="J98" s="72"/>
      <c r="K98" s="45"/>
    </row>
    <row r="99" spans="1:11" ht="24" x14ac:dyDescent="0.25">
      <c r="A99" s="115">
        <v>92</v>
      </c>
      <c r="B99" s="87" t="s">
        <v>787</v>
      </c>
      <c r="C99" s="85" t="str">
        <f>"O-16-960"</f>
        <v>O-16-960</v>
      </c>
      <c r="D99" s="86">
        <v>42446</v>
      </c>
      <c r="E99" s="86">
        <v>43190</v>
      </c>
      <c r="F99" s="84">
        <v>7105.22</v>
      </c>
      <c r="G99" s="84">
        <v>8881.5300000000007</v>
      </c>
      <c r="H99" s="86">
        <v>43100</v>
      </c>
      <c r="I99" s="37">
        <v>10690.251999999999</v>
      </c>
      <c r="J99" s="72"/>
      <c r="K99" s="45"/>
    </row>
    <row r="100" spans="1:11" ht="24" x14ac:dyDescent="0.25">
      <c r="A100" s="115">
        <v>93</v>
      </c>
      <c r="B100" s="87" t="s">
        <v>502</v>
      </c>
      <c r="C100" s="85" t="str">
        <f>"77/5/2016"</f>
        <v>77/5/2016</v>
      </c>
      <c r="D100" s="86">
        <v>42844</v>
      </c>
      <c r="E100" s="86">
        <v>43190</v>
      </c>
      <c r="F100" s="84">
        <v>95613.22</v>
      </c>
      <c r="G100" s="84">
        <v>119516.53</v>
      </c>
      <c r="H100" s="86">
        <v>43020</v>
      </c>
      <c r="I100" s="37">
        <v>67520.291100000002</v>
      </c>
      <c r="J100" s="72"/>
      <c r="K100" s="45"/>
    </row>
    <row r="101" spans="1:11" ht="36" x14ac:dyDescent="0.25">
      <c r="A101" s="115">
        <v>94</v>
      </c>
      <c r="B101" s="87" t="s">
        <v>476</v>
      </c>
      <c r="C101" s="85" t="str">
        <f>"18/16"</f>
        <v>18/16</v>
      </c>
      <c r="D101" s="86">
        <v>42451</v>
      </c>
      <c r="E101" s="86">
        <v>43190</v>
      </c>
      <c r="F101" s="84">
        <v>414501.54</v>
      </c>
      <c r="G101" s="84">
        <v>518126.93</v>
      </c>
      <c r="H101" s="86">
        <v>43100</v>
      </c>
      <c r="I101" s="37">
        <v>402819.30379999999</v>
      </c>
      <c r="J101" s="72"/>
      <c r="K101" s="45"/>
    </row>
    <row r="102" spans="1:11" ht="24" x14ac:dyDescent="0.25">
      <c r="A102" s="115">
        <v>95</v>
      </c>
      <c r="B102" s="87" t="s">
        <v>720</v>
      </c>
      <c r="C102" s="85" t="str">
        <f>"O-16-1187"</f>
        <v>O-16-1187</v>
      </c>
      <c r="D102" s="86">
        <v>42452</v>
      </c>
      <c r="E102" s="86">
        <v>42766</v>
      </c>
      <c r="F102" s="84">
        <v>68082.59</v>
      </c>
      <c r="G102" s="84">
        <v>85103.24</v>
      </c>
      <c r="H102" s="86">
        <v>42766</v>
      </c>
      <c r="I102" s="37">
        <v>82772.703399999984</v>
      </c>
      <c r="J102" s="72"/>
      <c r="K102" s="45"/>
    </row>
    <row r="103" spans="1:11" x14ac:dyDescent="0.25">
      <c r="A103" s="115">
        <v>96</v>
      </c>
      <c r="B103" s="87" t="s">
        <v>709</v>
      </c>
      <c r="C103" s="85" t="str">
        <f>"O-16-1113"</f>
        <v>O-16-1113</v>
      </c>
      <c r="D103" s="86">
        <v>42445</v>
      </c>
      <c r="E103" s="86">
        <v>43174</v>
      </c>
      <c r="F103" s="84">
        <v>0</v>
      </c>
      <c r="G103" s="84">
        <v>0</v>
      </c>
      <c r="H103" s="86">
        <v>43100</v>
      </c>
      <c r="I103" s="37">
        <v>38853.366300000002</v>
      </c>
      <c r="J103" s="72"/>
      <c r="K103" s="45"/>
    </row>
    <row r="104" spans="1:11" x14ac:dyDescent="0.25">
      <c r="A104" s="115">
        <v>97</v>
      </c>
      <c r="B104" s="87" t="s">
        <v>706</v>
      </c>
      <c r="C104" s="85" t="str">
        <f>"O-16-521"</f>
        <v>O-16-521</v>
      </c>
      <c r="D104" s="86">
        <v>42450</v>
      </c>
      <c r="E104" s="86">
        <v>43190</v>
      </c>
      <c r="F104" s="84">
        <v>1367.26</v>
      </c>
      <c r="G104" s="84">
        <v>1709.08</v>
      </c>
      <c r="H104" s="86">
        <v>43100</v>
      </c>
      <c r="I104" s="37">
        <v>8842.8827999999994</v>
      </c>
      <c r="J104" s="72"/>
      <c r="K104" s="45"/>
    </row>
    <row r="105" spans="1:11" ht="24" x14ac:dyDescent="0.25">
      <c r="A105" s="115">
        <v>98</v>
      </c>
      <c r="B105" s="87" t="s">
        <v>788</v>
      </c>
      <c r="C105" s="85" t="str">
        <f>"O/1171/16AK"</f>
        <v>O/1171/16AK</v>
      </c>
      <c r="D105" s="86">
        <v>42444</v>
      </c>
      <c r="E105" s="86">
        <v>43191</v>
      </c>
      <c r="F105" s="84">
        <v>15952.04</v>
      </c>
      <c r="G105" s="84">
        <v>19940.05</v>
      </c>
      <c r="H105" s="86">
        <v>43100</v>
      </c>
      <c r="I105" s="37">
        <v>27671.507799999999</v>
      </c>
      <c r="J105" s="72"/>
      <c r="K105" s="45"/>
    </row>
    <row r="106" spans="1:11" ht="24" x14ac:dyDescent="0.25">
      <c r="A106" s="115">
        <v>99</v>
      </c>
      <c r="B106" s="87" t="s">
        <v>504</v>
      </c>
      <c r="C106" s="85" t="str">
        <f>"O-16-1201"</f>
        <v>O-16-1201</v>
      </c>
      <c r="D106" s="86">
        <v>42482</v>
      </c>
      <c r="E106" s="86">
        <v>43190</v>
      </c>
      <c r="F106" s="84">
        <v>78700.27</v>
      </c>
      <c r="G106" s="84">
        <v>98375.34</v>
      </c>
      <c r="H106" s="86">
        <v>43100</v>
      </c>
      <c r="I106" s="37">
        <v>105119.67379999999</v>
      </c>
      <c r="J106" s="72"/>
      <c r="K106" s="45"/>
    </row>
    <row r="107" spans="1:11" ht="36" x14ac:dyDescent="0.25">
      <c r="A107" s="115">
        <v>100</v>
      </c>
      <c r="B107" s="87" t="s">
        <v>694</v>
      </c>
      <c r="C107" s="85" t="str">
        <f>"O-16-436"</f>
        <v>O-16-436</v>
      </c>
      <c r="D107" s="86">
        <v>42431</v>
      </c>
      <c r="E107" s="86">
        <v>43190</v>
      </c>
      <c r="F107" s="84">
        <v>36748.910000000003</v>
      </c>
      <c r="G107" s="84">
        <v>45936.14</v>
      </c>
      <c r="H107" s="86">
        <v>43100</v>
      </c>
      <c r="I107" s="37">
        <v>130152.2248</v>
      </c>
      <c r="J107" s="72"/>
      <c r="K107" s="45"/>
    </row>
    <row r="108" spans="1:11" ht="24" x14ac:dyDescent="0.25">
      <c r="A108" s="115">
        <v>101</v>
      </c>
      <c r="B108" s="87" t="s">
        <v>789</v>
      </c>
      <c r="C108" s="85" t="str">
        <f>"O-16-406"</f>
        <v>O-16-406</v>
      </c>
      <c r="D108" s="86">
        <v>42440</v>
      </c>
      <c r="E108" s="86">
        <v>43190</v>
      </c>
      <c r="F108" s="84">
        <v>132682.72</v>
      </c>
      <c r="G108" s="84">
        <v>165853.4</v>
      </c>
      <c r="H108" s="86">
        <v>43100</v>
      </c>
      <c r="I108" s="37">
        <v>223324.81539999996</v>
      </c>
      <c r="J108" s="72"/>
      <c r="K108" s="45"/>
    </row>
    <row r="109" spans="1:11" ht="24" x14ac:dyDescent="0.25">
      <c r="A109" s="115">
        <v>102</v>
      </c>
      <c r="B109" s="87" t="s">
        <v>494</v>
      </c>
      <c r="C109" s="85" t="str">
        <f>"O-16-392"</f>
        <v>O-16-392</v>
      </c>
      <c r="D109" s="86">
        <v>42450</v>
      </c>
      <c r="E109" s="86">
        <v>42826</v>
      </c>
      <c r="F109" s="84">
        <v>0</v>
      </c>
      <c r="G109" s="84">
        <v>0</v>
      </c>
      <c r="H109" s="86">
        <v>42826</v>
      </c>
      <c r="I109" s="37">
        <v>62728.232299999996</v>
      </c>
      <c r="J109" s="72"/>
      <c r="K109" s="45"/>
    </row>
    <row r="110" spans="1:11" ht="24" x14ac:dyDescent="0.25">
      <c r="A110" s="115">
        <v>103</v>
      </c>
      <c r="B110" s="87" t="s">
        <v>505</v>
      </c>
      <c r="C110" s="85" t="str">
        <f>"O-16-644"</f>
        <v>O-16-644</v>
      </c>
      <c r="D110" s="86">
        <v>42437</v>
      </c>
      <c r="E110" s="86">
        <v>43191</v>
      </c>
      <c r="F110" s="84">
        <v>1737675.47</v>
      </c>
      <c r="G110" s="84">
        <v>2172094.34</v>
      </c>
      <c r="H110" s="86">
        <v>43100</v>
      </c>
      <c r="I110" s="37">
        <v>4368454.2648999998</v>
      </c>
      <c r="J110" s="72"/>
      <c r="K110" s="45"/>
    </row>
    <row r="111" spans="1:11" ht="24" x14ac:dyDescent="0.25">
      <c r="A111" s="115">
        <v>104</v>
      </c>
      <c r="B111" s="87" t="s">
        <v>790</v>
      </c>
      <c r="C111" s="85" t="str">
        <f>"O-16-971"</f>
        <v>O-16-971</v>
      </c>
      <c r="D111" s="86">
        <v>42452</v>
      </c>
      <c r="E111" s="86">
        <v>43190</v>
      </c>
      <c r="F111" s="84">
        <v>105726</v>
      </c>
      <c r="G111" s="84">
        <v>132157.5</v>
      </c>
      <c r="H111" s="86">
        <v>43100</v>
      </c>
      <c r="I111" s="37">
        <v>116392.26</v>
      </c>
      <c r="J111" s="72"/>
      <c r="K111" s="45"/>
    </row>
    <row r="112" spans="1:11" ht="36" x14ac:dyDescent="0.25">
      <c r="A112" s="115">
        <v>105</v>
      </c>
      <c r="B112" s="87" t="s">
        <v>686</v>
      </c>
      <c r="C112" s="85" t="str">
        <f>"UDUPGZ/2/16"</f>
        <v>UDUPGZ/2/16</v>
      </c>
      <c r="D112" s="86">
        <v>42459</v>
      </c>
      <c r="E112" s="86">
        <v>42794</v>
      </c>
      <c r="F112" s="84">
        <v>0</v>
      </c>
      <c r="G112" s="84">
        <v>0</v>
      </c>
      <c r="H112" s="86">
        <v>42794</v>
      </c>
      <c r="I112" s="37">
        <v>157780.99599999998</v>
      </c>
      <c r="J112" s="72"/>
      <c r="K112" s="45"/>
    </row>
    <row r="113" spans="1:11" ht="24" x14ac:dyDescent="0.25">
      <c r="A113" s="115">
        <v>106</v>
      </c>
      <c r="B113" s="87" t="s">
        <v>791</v>
      </c>
      <c r="C113" s="85" t="str">
        <f>"O-16-1129"</f>
        <v>O-16-1129</v>
      </c>
      <c r="D113" s="86">
        <v>42444</v>
      </c>
      <c r="E113" s="86">
        <v>43190</v>
      </c>
      <c r="F113" s="84">
        <v>186603.84</v>
      </c>
      <c r="G113" s="84">
        <v>233254.8</v>
      </c>
      <c r="H113" s="86">
        <v>43100</v>
      </c>
      <c r="I113" s="37">
        <v>212167.66999999998</v>
      </c>
      <c r="J113" s="72"/>
      <c r="K113" s="45"/>
    </row>
    <row r="114" spans="1:11" x14ac:dyDescent="0.25">
      <c r="A114" s="115">
        <v>107</v>
      </c>
      <c r="B114" s="87" t="s">
        <v>648</v>
      </c>
      <c r="C114" s="85" t="str">
        <f>"O-16-564"</f>
        <v>O-16-564</v>
      </c>
      <c r="D114" s="86">
        <v>42440</v>
      </c>
      <c r="E114" s="86">
        <v>43191</v>
      </c>
      <c r="F114" s="84">
        <v>467004.35</v>
      </c>
      <c r="G114" s="84">
        <v>583755.43999999994</v>
      </c>
      <c r="H114" s="86">
        <v>43100</v>
      </c>
      <c r="I114" s="37">
        <v>3715955.2121999995</v>
      </c>
      <c r="J114" s="72"/>
      <c r="K114" s="45"/>
    </row>
    <row r="115" spans="1:11" ht="24" x14ac:dyDescent="0.25">
      <c r="A115" s="115">
        <v>108</v>
      </c>
      <c r="B115" s="87" t="s">
        <v>792</v>
      </c>
      <c r="C115" s="85" t="str">
        <f>"O-16-589"</f>
        <v>O-16-589</v>
      </c>
      <c r="D115" s="86">
        <v>42431</v>
      </c>
      <c r="E115" s="86">
        <v>43161</v>
      </c>
      <c r="F115" s="84">
        <v>14189.02</v>
      </c>
      <c r="G115" s="84">
        <v>17736.28</v>
      </c>
      <c r="H115" s="86">
        <v>43100</v>
      </c>
      <c r="I115" s="37">
        <v>27048.730899999999</v>
      </c>
      <c r="J115" s="72"/>
      <c r="K115" s="45"/>
    </row>
    <row r="116" spans="1:11" ht="24" x14ac:dyDescent="0.25">
      <c r="A116" s="115">
        <v>109</v>
      </c>
      <c r="B116" s="87" t="s">
        <v>531</v>
      </c>
      <c r="C116" s="85" t="str">
        <f>"O-16-615"</f>
        <v>O-16-615</v>
      </c>
      <c r="D116" s="86">
        <v>42443</v>
      </c>
      <c r="E116" s="86">
        <v>43190</v>
      </c>
      <c r="F116" s="84">
        <v>270779.18</v>
      </c>
      <c r="G116" s="84">
        <v>338473.98</v>
      </c>
      <c r="H116" s="86">
        <v>43100</v>
      </c>
      <c r="I116" s="37">
        <v>275837.12449999998</v>
      </c>
      <c r="J116" s="72"/>
      <c r="K116" s="45"/>
    </row>
    <row r="117" spans="1:11" ht="24" x14ac:dyDescent="0.25">
      <c r="A117" s="115">
        <v>110</v>
      </c>
      <c r="B117" s="87" t="s">
        <v>194</v>
      </c>
      <c r="C117" s="85" t="str">
        <f>"9 /16"</f>
        <v>9 /16</v>
      </c>
      <c r="D117" s="86">
        <v>42473</v>
      </c>
      <c r="E117" s="86">
        <v>43100</v>
      </c>
      <c r="F117" s="84">
        <v>792632.54</v>
      </c>
      <c r="G117" s="84">
        <v>990790.68</v>
      </c>
      <c r="H117" s="86">
        <v>43100</v>
      </c>
      <c r="I117" s="37">
        <v>1098344.8015000001</v>
      </c>
      <c r="J117" s="72"/>
      <c r="K117" s="45"/>
    </row>
    <row r="118" spans="1:11" x14ac:dyDescent="0.25">
      <c r="A118" s="115">
        <v>111</v>
      </c>
      <c r="B118" s="87" t="s">
        <v>555</v>
      </c>
      <c r="C118" s="85" t="str">
        <f>"O-16-994"</f>
        <v>O-16-994</v>
      </c>
      <c r="D118" s="86">
        <v>42445</v>
      </c>
      <c r="E118" s="86">
        <v>43174</v>
      </c>
      <c r="F118" s="84">
        <v>140725.20000000001</v>
      </c>
      <c r="G118" s="84">
        <v>175906.5</v>
      </c>
      <c r="H118" s="86">
        <v>43100</v>
      </c>
      <c r="I118" s="37">
        <v>438931.3579</v>
      </c>
      <c r="J118" s="72"/>
      <c r="K118" s="45"/>
    </row>
    <row r="119" spans="1:11" ht="24" x14ac:dyDescent="0.25">
      <c r="A119" s="115">
        <v>112</v>
      </c>
      <c r="B119" s="87" t="s">
        <v>793</v>
      </c>
      <c r="C119" s="85" t="str">
        <f>"O-16-274"</f>
        <v>O-16-274</v>
      </c>
      <c r="D119" s="86">
        <v>42445</v>
      </c>
      <c r="E119" s="86">
        <v>43190</v>
      </c>
      <c r="F119" s="84">
        <v>7636.41</v>
      </c>
      <c r="G119" s="84">
        <v>9545.51</v>
      </c>
      <c r="H119" s="86">
        <v>43100</v>
      </c>
      <c r="I119" s="37">
        <v>35192.5844</v>
      </c>
      <c r="J119" s="72"/>
      <c r="K119" s="45"/>
    </row>
    <row r="120" spans="1:11" ht="36" x14ac:dyDescent="0.25">
      <c r="A120" s="115">
        <v>113</v>
      </c>
      <c r="B120" s="87" t="s">
        <v>794</v>
      </c>
      <c r="C120" s="85" t="str">
        <f>"0-16-962"</f>
        <v>0-16-962</v>
      </c>
      <c r="D120" s="86">
        <v>42438</v>
      </c>
      <c r="E120" s="86">
        <v>43190</v>
      </c>
      <c r="F120" s="84">
        <v>30161.97</v>
      </c>
      <c r="G120" s="84">
        <v>37702.46</v>
      </c>
      <c r="H120" s="86">
        <v>43100</v>
      </c>
      <c r="I120" s="37">
        <v>63458.822499999995</v>
      </c>
      <c r="J120" s="72"/>
      <c r="K120" s="45"/>
    </row>
    <row r="121" spans="1:11" ht="24" x14ac:dyDescent="0.25">
      <c r="A121" s="115">
        <v>114</v>
      </c>
      <c r="B121" s="87" t="s">
        <v>664</v>
      </c>
      <c r="C121" s="85" t="str">
        <f>"O-16-465"</f>
        <v>O-16-465</v>
      </c>
      <c r="D121" s="86">
        <v>42425</v>
      </c>
      <c r="E121" s="86">
        <v>43160</v>
      </c>
      <c r="F121" s="84">
        <v>39073.379999999997</v>
      </c>
      <c r="G121" s="84">
        <v>48841.73</v>
      </c>
      <c r="H121" s="86">
        <v>43100</v>
      </c>
      <c r="I121" s="37">
        <v>89763.08679999999</v>
      </c>
      <c r="J121" s="72"/>
      <c r="K121" s="45"/>
    </row>
    <row r="122" spans="1:11" x14ac:dyDescent="0.25">
      <c r="A122" s="115">
        <v>115</v>
      </c>
      <c r="B122" s="87" t="s">
        <v>492</v>
      </c>
      <c r="C122" s="85" t="str">
        <f>"O-16-767"</f>
        <v>O-16-767</v>
      </c>
      <c r="D122" s="86">
        <v>42391</v>
      </c>
      <c r="E122" s="86">
        <v>43159</v>
      </c>
      <c r="F122" s="84">
        <v>72000</v>
      </c>
      <c r="G122" s="84">
        <v>90000</v>
      </c>
      <c r="H122" s="86">
        <v>43100</v>
      </c>
      <c r="I122" s="37">
        <v>86382.296299999987</v>
      </c>
      <c r="J122" s="72"/>
      <c r="K122" s="45"/>
    </row>
    <row r="123" spans="1:11" ht="36" x14ac:dyDescent="0.25">
      <c r="A123" s="115">
        <v>116</v>
      </c>
      <c r="B123" s="87" t="s">
        <v>795</v>
      </c>
      <c r="C123" s="85" t="str">
        <f>"O-16--690"</f>
        <v>O-16--690</v>
      </c>
      <c r="D123" s="86">
        <v>42429</v>
      </c>
      <c r="E123" s="86">
        <v>43159</v>
      </c>
      <c r="F123" s="84">
        <v>204580</v>
      </c>
      <c r="G123" s="84">
        <v>255725</v>
      </c>
      <c r="H123" s="86">
        <v>43100</v>
      </c>
      <c r="I123" s="37">
        <v>380034.17589999997</v>
      </c>
      <c r="J123" s="72"/>
      <c r="K123" s="45"/>
    </row>
    <row r="124" spans="1:11" x14ac:dyDescent="0.25">
      <c r="A124" s="115">
        <v>117</v>
      </c>
      <c r="B124" s="87" t="s">
        <v>703</v>
      </c>
      <c r="C124" s="85" t="str">
        <f>"O-16-470"</f>
        <v>O-16-470</v>
      </c>
      <c r="D124" s="86">
        <v>42415</v>
      </c>
      <c r="E124" s="86">
        <v>43160</v>
      </c>
      <c r="F124" s="84">
        <v>301466.31</v>
      </c>
      <c r="G124" s="84">
        <v>376832.89</v>
      </c>
      <c r="H124" s="86">
        <v>43100</v>
      </c>
      <c r="I124" s="37">
        <v>705616.49939999997</v>
      </c>
      <c r="J124" s="72"/>
      <c r="K124" s="45"/>
    </row>
    <row r="125" spans="1:11" ht="48" x14ac:dyDescent="0.25">
      <c r="A125" s="115">
        <v>118</v>
      </c>
      <c r="B125" s="87" t="s">
        <v>796</v>
      </c>
      <c r="C125" s="85" t="str">
        <f>"U-OS 1/2016"</f>
        <v>U-OS 1/2016</v>
      </c>
      <c r="D125" s="86">
        <v>42430</v>
      </c>
      <c r="E125" s="86">
        <v>43159</v>
      </c>
      <c r="F125" s="84">
        <v>118118.57</v>
      </c>
      <c r="G125" s="84">
        <v>147648.21</v>
      </c>
      <c r="H125" s="86">
        <v>43100</v>
      </c>
      <c r="I125" s="37">
        <v>390058.21379999997</v>
      </c>
      <c r="J125" s="72"/>
      <c r="K125" s="45"/>
    </row>
    <row r="126" spans="1:11" ht="24" x14ac:dyDescent="0.25">
      <c r="A126" s="115">
        <v>119</v>
      </c>
      <c r="B126" s="87" t="s">
        <v>797</v>
      </c>
      <c r="C126" s="85" t="str">
        <f>"O-16-580"</f>
        <v>O-16-580</v>
      </c>
      <c r="D126" s="86">
        <v>42403</v>
      </c>
      <c r="E126" s="86">
        <v>43160</v>
      </c>
      <c r="F126" s="84">
        <v>10623.46</v>
      </c>
      <c r="G126" s="84">
        <v>13279.33</v>
      </c>
      <c r="H126" s="86">
        <v>43100</v>
      </c>
      <c r="I126" s="37">
        <v>28053.470399999998</v>
      </c>
      <c r="J126" s="72"/>
      <c r="K126" s="45"/>
    </row>
    <row r="127" spans="1:11" ht="36" x14ac:dyDescent="0.25">
      <c r="A127" s="115">
        <v>120</v>
      </c>
      <c r="B127" s="87" t="s">
        <v>640</v>
      </c>
      <c r="C127" s="85" t="str">
        <f>"0--16-399"</f>
        <v>0--16-399</v>
      </c>
      <c r="D127" s="86">
        <v>42430</v>
      </c>
      <c r="E127" s="86">
        <v>43160</v>
      </c>
      <c r="F127" s="84">
        <v>0</v>
      </c>
      <c r="G127" s="84">
        <v>0</v>
      </c>
      <c r="H127" s="86">
        <v>43100</v>
      </c>
      <c r="I127" s="37">
        <v>79110.41859999999</v>
      </c>
      <c r="J127" s="72"/>
      <c r="K127" s="45"/>
    </row>
    <row r="128" spans="1:11" x14ac:dyDescent="0.25">
      <c r="A128" s="115">
        <v>121</v>
      </c>
      <c r="B128" s="87" t="s">
        <v>798</v>
      </c>
      <c r="C128" s="85" t="str">
        <f>"O-16-585"</f>
        <v>O-16-585</v>
      </c>
      <c r="D128" s="86">
        <v>42401</v>
      </c>
      <c r="E128" s="86">
        <v>43076</v>
      </c>
      <c r="F128" s="84">
        <v>31105.02</v>
      </c>
      <c r="G128" s="84">
        <v>38881.279999999999</v>
      </c>
      <c r="H128" s="86">
        <v>43076</v>
      </c>
      <c r="I128" s="37">
        <v>34438.953499999996</v>
      </c>
      <c r="J128" s="72"/>
      <c r="K128" s="45"/>
    </row>
    <row r="129" spans="1:11" ht="24" x14ac:dyDescent="0.25">
      <c r="A129" s="115">
        <v>122</v>
      </c>
      <c r="B129" s="87" t="s">
        <v>628</v>
      </c>
      <c r="C129" s="85" t="str">
        <f>"O-16-955"</f>
        <v>O-16-955</v>
      </c>
      <c r="D129" s="86">
        <v>42415</v>
      </c>
      <c r="E129" s="86">
        <v>43159</v>
      </c>
      <c r="F129" s="84">
        <v>264462.40000000002</v>
      </c>
      <c r="G129" s="84">
        <v>330578</v>
      </c>
      <c r="H129" s="86">
        <v>43100</v>
      </c>
      <c r="I129" s="37">
        <v>316917.53999999998</v>
      </c>
      <c r="J129" s="72"/>
      <c r="K129" s="45"/>
    </row>
    <row r="130" spans="1:11" ht="24" x14ac:dyDescent="0.25">
      <c r="A130" s="115">
        <v>123</v>
      </c>
      <c r="B130" s="87" t="s">
        <v>547</v>
      </c>
      <c r="C130" s="85" t="str">
        <f>"11/2015-310-02/16-01/1"</f>
        <v>11/2015-310-02/16-01/1</v>
      </c>
      <c r="D130" s="86">
        <v>42415</v>
      </c>
      <c r="E130" s="86">
        <v>43146</v>
      </c>
      <c r="F130" s="84">
        <v>31875</v>
      </c>
      <c r="G130" s="84">
        <v>39843.75</v>
      </c>
      <c r="H130" s="86">
        <v>43100</v>
      </c>
      <c r="I130" s="37">
        <v>255781.74889999998</v>
      </c>
      <c r="J130" s="72"/>
      <c r="K130" s="45"/>
    </row>
    <row r="131" spans="1:11" ht="24" x14ac:dyDescent="0.25">
      <c r="A131" s="115">
        <v>124</v>
      </c>
      <c r="B131" s="87" t="s">
        <v>799</v>
      </c>
      <c r="C131" s="85" t="str">
        <f>"O-16-567"</f>
        <v>O-16-567</v>
      </c>
      <c r="D131" s="86">
        <v>42415</v>
      </c>
      <c r="E131" s="86">
        <v>43159</v>
      </c>
      <c r="F131" s="84">
        <v>7046.63</v>
      </c>
      <c r="G131" s="84">
        <v>8808.2900000000009</v>
      </c>
      <c r="H131" s="86">
        <v>43100</v>
      </c>
      <c r="I131" s="37">
        <v>58338.035399999993</v>
      </c>
      <c r="J131" s="72"/>
      <c r="K131" s="45"/>
    </row>
    <row r="132" spans="1:11" ht="24" x14ac:dyDescent="0.25">
      <c r="A132" s="115">
        <v>125</v>
      </c>
      <c r="B132" s="87" t="s">
        <v>800</v>
      </c>
      <c r="C132" s="85" t="str">
        <f>"O-16-458"</f>
        <v>O-16-458</v>
      </c>
      <c r="D132" s="86">
        <v>42419</v>
      </c>
      <c r="E132" s="86">
        <v>43159</v>
      </c>
      <c r="F132" s="84">
        <v>30039.99</v>
      </c>
      <c r="G132" s="84">
        <v>37549.99</v>
      </c>
      <c r="H132" s="86">
        <v>43025</v>
      </c>
      <c r="I132" s="37">
        <v>67272.515999999989</v>
      </c>
      <c r="J132" s="72"/>
      <c r="K132" s="45"/>
    </row>
    <row r="133" spans="1:11" ht="36" x14ac:dyDescent="0.25">
      <c r="A133" s="115">
        <v>126</v>
      </c>
      <c r="B133" s="87" t="s">
        <v>801</v>
      </c>
      <c r="C133" s="85" t="str">
        <f>"O-16-286"</f>
        <v>O-16-286</v>
      </c>
      <c r="D133" s="86">
        <v>42416</v>
      </c>
      <c r="E133" s="86">
        <v>43159</v>
      </c>
      <c r="F133" s="84">
        <v>15200</v>
      </c>
      <c r="G133" s="84">
        <v>19000</v>
      </c>
      <c r="H133" s="86">
        <v>43100</v>
      </c>
      <c r="I133" s="37">
        <v>19860.936499999996</v>
      </c>
      <c r="J133" s="72"/>
      <c r="K133" s="45"/>
    </row>
    <row r="134" spans="1:11" x14ac:dyDescent="0.25">
      <c r="A134" s="115">
        <v>127</v>
      </c>
      <c r="B134" s="87" t="s">
        <v>551</v>
      </c>
      <c r="C134" s="85" t="str">
        <f>"O-16-558"</f>
        <v>O-16-558</v>
      </c>
      <c r="D134" s="86">
        <v>42398</v>
      </c>
      <c r="E134" s="86">
        <v>43159</v>
      </c>
      <c r="F134" s="84">
        <v>97418</v>
      </c>
      <c r="G134" s="84">
        <v>121772.5</v>
      </c>
      <c r="H134" s="86">
        <v>43100</v>
      </c>
      <c r="I134" s="37">
        <v>183542.5552</v>
      </c>
      <c r="J134" s="72"/>
      <c r="K134" s="45"/>
    </row>
    <row r="135" spans="1:11" x14ac:dyDescent="0.25">
      <c r="A135" s="115">
        <v>128</v>
      </c>
      <c r="B135" s="87" t="s">
        <v>621</v>
      </c>
      <c r="C135" s="85" t="str">
        <f>"41 SU 38/16"</f>
        <v>41 SU 38/16</v>
      </c>
      <c r="D135" s="86">
        <v>42395</v>
      </c>
      <c r="E135" s="86">
        <v>43159</v>
      </c>
      <c r="F135" s="84">
        <v>8229.08</v>
      </c>
      <c r="G135" s="84">
        <v>10286.35</v>
      </c>
      <c r="H135" s="86">
        <v>43100</v>
      </c>
      <c r="I135" s="37">
        <v>84775.391099999993</v>
      </c>
      <c r="J135" s="72"/>
      <c r="K135" s="45"/>
    </row>
    <row r="136" spans="1:11" x14ac:dyDescent="0.25">
      <c r="A136" s="115">
        <v>129</v>
      </c>
      <c r="B136" s="87" t="s">
        <v>802</v>
      </c>
      <c r="C136" s="85" t="str">
        <f>"O-16-608"</f>
        <v>O-16-608</v>
      </c>
      <c r="D136" s="86">
        <v>42417</v>
      </c>
      <c r="E136" s="86">
        <v>43159</v>
      </c>
      <c r="F136" s="84">
        <v>90173.23</v>
      </c>
      <c r="G136" s="84">
        <v>112716.54</v>
      </c>
      <c r="H136" s="86">
        <v>43100</v>
      </c>
      <c r="I136" s="37">
        <v>101847.25029999999</v>
      </c>
      <c r="J136" s="72"/>
      <c r="K136" s="45"/>
    </row>
    <row r="137" spans="1:11" ht="24" x14ac:dyDescent="0.25">
      <c r="A137" s="115">
        <v>130</v>
      </c>
      <c r="B137" s="87" t="s">
        <v>803</v>
      </c>
      <c r="C137" s="85" t="str">
        <f>"O-16-596"</f>
        <v>O-16-596</v>
      </c>
      <c r="D137" s="86">
        <v>42417</v>
      </c>
      <c r="E137" s="86">
        <v>43148</v>
      </c>
      <c r="F137" s="84">
        <v>63000</v>
      </c>
      <c r="G137" s="84">
        <v>78750</v>
      </c>
      <c r="H137" s="86">
        <v>43100</v>
      </c>
      <c r="I137" s="37">
        <v>41301.567799999997</v>
      </c>
      <c r="J137" s="72"/>
      <c r="K137" s="45"/>
    </row>
    <row r="138" spans="1:11" ht="24" x14ac:dyDescent="0.25">
      <c r="A138" s="115">
        <v>131</v>
      </c>
      <c r="B138" s="87" t="s">
        <v>804</v>
      </c>
      <c r="C138" s="85" t="str">
        <f>"O-16-475"</f>
        <v>O-16-475</v>
      </c>
      <c r="D138" s="86">
        <v>42381</v>
      </c>
      <c r="E138" s="86">
        <v>43112</v>
      </c>
      <c r="F138" s="84">
        <v>44000</v>
      </c>
      <c r="G138" s="84">
        <v>55000</v>
      </c>
      <c r="H138" s="86">
        <v>43100</v>
      </c>
      <c r="I138" s="37">
        <v>101347.1914</v>
      </c>
      <c r="J138" s="72"/>
      <c r="K138" s="45"/>
    </row>
    <row r="139" spans="1:11" ht="36" x14ac:dyDescent="0.25">
      <c r="A139" s="115">
        <v>132</v>
      </c>
      <c r="B139" s="87" t="s">
        <v>805</v>
      </c>
      <c r="C139" s="85" t="str">
        <f>"O-16-389"</f>
        <v>O-16-389</v>
      </c>
      <c r="D139" s="86">
        <v>42424</v>
      </c>
      <c r="E139" s="86">
        <v>43159</v>
      </c>
      <c r="F139" s="84">
        <v>55773.41</v>
      </c>
      <c r="G139" s="84">
        <v>69716.759999999995</v>
      </c>
      <c r="H139" s="86">
        <v>43100</v>
      </c>
      <c r="I139" s="37">
        <v>137098.59469999999</v>
      </c>
      <c r="J139" s="72"/>
      <c r="K139" s="45"/>
    </row>
    <row r="140" spans="1:11" ht="36" x14ac:dyDescent="0.25">
      <c r="A140" s="115">
        <v>133</v>
      </c>
      <c r="B140" s="87" t="s">
        <v>806</v>
      </c>
      <c r="C140" s="85" t="str">
        <f>"O-16-954"</f>
        <v>O-16-954</v>
      </c>
      <c r="D140" s="86">
        <v>42423</v>
      </c>
      <c r="E140" s="86">
        <v>43160</v>
      </c>
      <c r="F140" s="84">
        <v>141852</v>
      </c>
      <c r="G140" s="84">
        <v>177315</v>
      </c>
      <c r="H140" s="86">
        <v>43100</v>
      </c>
      <c r="I140" s="37">
        <v>307937.03450000001</v>
      </c>
      <c r="J140" s="72"/>
      <c r="K140" s="45"/>
    </row>
    <row r="141" spans="1:11" ht="36" x14ac:dyDescent="0.25">
      <c r="A141" s="115">
        <v>134</v>
      </c>
      <c r="B141" s="87" t="s">
        <v>807</v>
      </c>
      <c r="C141" s="85" t="str">
        <f>"DUSJN/1/2016"</f>
        <v>DUSJN/1/2016</v>
      </c>
      <c r="D141" s="86">
        <v>42417</v>
      </c>
      <c r="E141" s="86">
        <v>43160</v>
      </c>
      <c r="F141" s="84">
        <v>185131.7</v>
      </c>
      <c r="G141" s="84">
        <v>231414.63</v>
      </c>
      <c r="H141" s="86">
        <v>43008</v>
      </c>
      <c r="I141" s="37">
        <v>350507.92</v>
      </c>
      <c r="J141" s="72"/>
      <c r="K141" s="45"/>
    </row>
    <row r="142" spans="1:11" x14ac:dyDescent="0.25">
      <c r="A142" s="115">
        <v>135</v>
      </c>
      <c r="B142" s="87" t="s">
        <v>744</v>
      </c>
      <c r="C142" s="85" t="str">
        <f>"O-16-472"</f>
        <v>O-16-472</v>
      </c>
      <c r="D142" s="86">
        <v>42425</v>
      </c>
      <c r="E142" s="86">
        <v>43159</v>
      </c>
      <c r="F142" s="84">
        <v>4346.88</v>
      </c>
      <c r="G142" s="84">
        <v>5433.6</v>
      </c>
      <c r="H142" s="86">
        <v>43100</v>
      </c>
      <c r="I142" s="37">
        <v>6203.360999999999</v>
      </c>
      <c r="J142" s="72"/>
      <c r="K142" s="45"/>
    </row>
    <row r="143" spans="1:11" x14ac:dyDescent="0.25">
      <c r="A143" s="115">
        <v>136</v>
      </c>
      <c r="B143" s="87" t="s">
        <v>521</v>
      </c>
      <c r="C143" s="85" t="str">
        <f>"O-16-278"</f>
        <v>O-16-278</v>
      </c>
      <c r="D143" s="86">
        <v>42417</v>
      </c>
      <c r="E143" s="86">
        <v>43159</v>
      </c>
      <c r="F143" s="84">
        <v>0</v>
      </c>
      <c r="G143" s="84">
        <v>0</v>
      </c>
      <c r="H143" s="86">
        <v>43100</v>
      </c>
      <c r="I143" s="37">
        <v>917235.01199999999</v>
      </c>
      <c r="J143" s="72"/>
      <c r="K143" s="45"/>
    </row>
    <row r="144" spans="1:11" ht="24" x14ac:dyDescent="0.25">
      <c r="A144" s="115">
        <v>137</v>
      </c>
      <c r="B144" s="87" t="s">
        <v>808</v>
      </c>
      <c r="C144" s="85" t="str">
        <f>"O-16-430"</f>
        <v>O-16-430</v>
      </c>
      <c r="D144" s="86">
        <v>42425</v>
      </c>
      <c r="E144" s="86">
        <v>43159</v>
      </c>
      <c r="F144" s="84">
        <v>99964.91</v>
      </c>
      <c r="G144" s="84">
        <v>124956.14</v>
      </c>
      <c r="H144" s="86">
        <v>43100</v>
      </c>
      <c r="I144" s="37">
        <v>107350.5876</v>
      </c>
      <c r="J144" s="72"/>
      <c r="K144" s="45"/>
    </row>
    <row r="145" spans="1:11" ht="24" x14ac:dyDescent="0.25">
      <c r="A145" s="115">
        <v>138</v>
      </c>
      <c r="B145" s="87" t="s">
        <v>809</v>
      </c>
      <c r="C145" s="85" t="str">
        <f>"O-16-956"</f>
        <v>O-16-956</v>
      </c>
      <c r="D145" s="86">
        <v>42418</v>
      </c>
      <c r="E145" s="86">
        <v>43160</v>
      </c>
      <c r="F145" s="84">
        <v>145.22999999999999</v>
      </c>
      <c r="G145" s="84">
        <v>181.54</v>
      </c>
      <c r="H145" s="86">
        <v>43100</v>
      </c>
      <c r="I145" s="37">
        <v>189060.79719999997</v>
      </c>
      <c r="J145" s="72"/>
      <c r="K145" s="45"/>
    </row>
    <row r="146" spans="1:11" ht="24" x14ac:dyDescent="0.25">
      <c r="A146" s="115">
        <v>139</v>
      </c>
      <c r="B146" s="87" t="s">
        <v>511</v>
      </c>
      <c r="C146" s="85" t="str">
        <f>"O-16-466"</f>
        <v>O-16-466</v>
      </c>
      <c r="D146" s="86">
        <v>42416</v>
      </c>
      <c r="E146" s="86">
        <v>43159</v>
      </c>
      <c r="F146" s="84">
        <v>64532.38</v>
      </c>
      <c r="G146" s="84">
        <v>80665.48</v>
      </c>
      <c r="H146" s="86">
        <v>42735</v>
      </c>
      <c r="I146" s="37">
        <v>1809.4237999999998</v>
      </c>
      <c r="J146" s="72"/>
      <c r="K146" s="45"/>
    </row>
    <row r="147" spans="1:11" x14ac:dyDescent="0.25">
      <c r="A147" s="115">
        <v>140</v>
      </c>
      <c r="B147" s="87" t="s">
        <v>616</v>
      </c>
      <c r="C147" s="85" t="str">
        <f>"O-16-499"</f>
        <v>O-16-499</v>
      </c>
      <c r="D147" s="86">
        <v>42410</v>
      </c>
      <c r="E147" s="86">
        <v>43159</v>
      </c>
      <c r="F147" s="84">
        <v>73874.850000000006</v>
      </c>
      <c r="G147" s="84">
        <v>92343.56</v>
      </c>
      <c r="H147" s="86">
        <v>43100</v>
      </c>
      <c r="I147" s="37">
        <v>366295.43249999994</v>
      </c>
      <c r="J147" s="72"/>
      <c r="K147" s="45"/>
    </row>
    <row r="148" spans="1:11" ht="24" x14ac:dyDescent="0.25">
      <c r="A148" s="115">
        <v>141</v>
      </c>
      <c r="B148" s="87" t="s">
        <v>591</v>
      </c>
      <c r="C148" s="85" t="str">
        <f>"O-16-358"</f>
        <v>O-16-358</v>
      </c>
      <c r="D148" s="86">
        <v>42412</v>
      </c>
      <c r="E148" s="86">
        <v>43159</v>
      </c>
      <c r="F148" s="84">
        <v>52574.14</v>
      </c>
      <c r="G148" s="84">
        <v>65717.679999999993</v>
      </c>
      <c r="H148" s="86">
        <v>43100</v>
      </c>
      <c r="I148" s="37">
        <v>93700.051999999981</v>
      </c>
      <c r="J148" s="72"/>
      <c r="K148" s="45"/>
    </row>
    <row r="149" spans="1:11" ht="24" x14ac:dyDescent="0.25">
      <c r="A149" s="115">
        <v>142</v>
      </c>
      <c r="B149" s="87" t="s">
        <v>810</v>
      </c>
      <c r="C149" s="85" t="str">
        <f>"O-16-505/11-2015"</f>
        <v>O-16-505/11-2015</v>
      </c>
      <c r="D149" s="86">
        <v>42398</v>
      </c>
      <c r="E149" s="86">
        <v>43160</v>
      </c>
      <c r="F149" s="84">
        <v>36000</v>
      </c>
      <c r="G149" s="84">
        <v>45000</v>
      </c>
      <c r="H149" s="86">
        <v>43100</v>
      </c>
      <c r="I149" s="37">
        <v>58897.4306</v>
      </c>
      <c r="J149" s="72"/>
      <c r="K149" s="45"/>
    </row>
    <row r="150" spans="1:11" x14ac:dyDescent="0.25">
      <c r="A150" s="115">
        <v>143</v>
      </c>
      <c r="B150" s="87" t="s">
        <v>618</v>
      </c>
      <c r="C150" s="85" t="str">
        <f>"O-16-1021"</f>
        <v>O-16-1021</v>
      </c>
      <c r="D150" s="86">
        <v>42416</v>
      </c>
      <c r="E150" s="86">
        <v>43159</v>
      </c>
      <c r="F150" s="84">
        <v>13568.46</v>
      </c>
      <c r="G150" s="84">
        <v>16960.580000000002</v>
      </c>
      <c r="H150" s="86">
        <v>43100</v>
      </c>
      <c r="I150" s="37">
        <v>30573.155699999996</v>
      </c>
      <c r="J150" s="72"/>
      <c r="K150" s="45"/>
    </row>
    <row r="151" spans="1:11" x14ac:dyDescent="0.25">
      <c r="A151" s="115">
        <v>144</v>
      </c>
      <c r="B151" s="87" t="s">
        <v>523</v>
      </c>
      <c r="C151" s="85" t="str">
        <f>"VV-01/2016"</f>
        <v>VV-01/2016</v>
      </c>
      <c r="D151" s="86">
        <v>42418</v>
      </c>
      <c r="E151" s="86">
        <v>43160</v>
      </c>
      <c r="F151" s="84">
        <v>880000</v>
      </c>
      <c r="G151" s="84">
        <v>1100000</v>
      </c>
      <c r="H151" s="86">
        <v>43100</v>
      </c>
      <c r="I151" s="37">
        <v>1184852.2113999999</v>
      </c>
      <c r="J151" s="72"/>
      <c r="K151" s="45"/>
    </row>
    <row r="152" spans="1:11" x14ac:dyDescent="0.25">
      <c r="A152" s="115">
        <v>145</v>
      </c>
      <c r="B152" s="87" t="s">
        <v>582</v>
      </c>
      <c r="C152" s="85" t="str">
        <f>"O-16-806"</f>
        <v>O-16-806</v>
      </c>
      <c r="D152" s="86">
        <v>42412</v>
      </c>
      <c r="E152" s="86">
        <v>43160</v>
      </c>
      <c r="F152" s="84">
        <v>12763.02</v>
      </c>
      <c r="G152" s="84">
        <v>15188</v>
      </c>
      <c r="H152" s="86">
        <v>43100</v>
      </c>
      <c r="I152" s="37">
        <v>25818.997099999997</v>
      </c>
      <c r="J152" s="72"/>
      <c r="K152" s="45"/>
    </row>
    <row r="153" spans="1:11" ht="24" x14ac:dyDescent="0.25">
      <c r="A153" s="115">
        <v>146</v>
      </c>
      <c r="B153" s="87" t="s">
        <v>811</v>
      </c>
      <c r="C153" s="85" t="str">
        <f>"O-16-958"</f>
        <v>O-16-958</v>
      </c>
      <c r="D153" s="86">
        <v>42423</v>
      </c>
      <c r="E153" s="86">
        <v>43160</v>
      </c>
      <c r="F153" s="84">
        <v>101746.67</v>
      </c>
      <c r="G153" s="84">
        <v>127183.34</v>
      </c>
      <c r="H153" s="86">
        <v>43100</v>
      </c>
      <c r="I153" s="37">
        <v>317252.30249999999</v>
      </c>
      <c r="J153" s="72"/>
      <c r="K153" s="45"/>
    </row>
    <row r="154" spans="1:11" x14ac:dyDescent="0.25">
      <c r="A154" s="115">
        <v>147</v>
      </c>
      <c r="B154" s="87" t="s">
        <v>737</v>
      </c>
      <c r="C154" s="85" t="str">
        <f>"HEP-15"</f>
        <v>HEP-15</v>
      </c>
      <c r="D154" s="86">
        <v>42409</v>
      </c>
      <c r="E154" s="86">
        <v>43140</v>
      </c>
      <c r="F154" s="84">
        <v>15651.39</v>
      </c>
      <c r="G154" s="84">
        <v>19564.240000000002</v>
      </c>
      <c r="H154" s="86">
        <v>43100</v>
      </c>
      <c r="I154" s="37">
        <v>16228.822699999999</v>
      </c>
      <c r="J154" s="72"/>
      <c r="K154" s="45"/>
    </row>
    <row r="155" spans="1:11" ht="24" x14ac:dyDescent="0.25">
      <c r="A155" s="115">
        <v>148</v>
      </c>
      <c r="B155" s="87" t="s">
        <v>812</v>
      </c>
      <c r="C155" s="85" t="str">
        <f>"0-16-449"</f>
        <v>0-16-449</v>
      </c>
      <c r="D155" s="86">
        <v>42401</v>
      </c>
      <c r="E155" s="86">
        <v>43160</v>
      </c>
      <c r="F155" s="84">
        <v>9823.7999999999993</v>
      </c>
      <c r="G155" s="84">
        <v>12279.75</v>
      </c>
      <c r="H155" s="86">
        <v>43100</v>
      </c>
      <c r="I155" s="37">
        <v>23691.625199999999</v>
      </c>
      <c r="J155" s="72"/>
      <c r="K155" s="45"/>
    </row>
    <row r="156" spans="1:11" ht="24" x14ac:dyDescent="0.25">
      <c r="A156" s="115">
        <v>149</v>
      </c>
      <c r="B156" s="87" t="s">
        <v>522</v>
      </c>
      <c r="C156" s="85" t="str">
        <f>"O-16-552"</f>
        <v>O-16-552</v>
      </c>
      <c r="D156" s="86">
        <v>42415</v>
      </c>
      <c r="E156" s="86">
        <v>43160</v>
      </c>
      <c r="F156" s="84">
        <v>407501.93</v>
      </c>
      <c r="G156" s="84">
        <v>509377.41</v>
      </c>
      <c r="H156" s="86">
        <v>43100</v>
      </c>
      <c r="I156" s="37">
        <v>1096760.5640999998</v>
      </c>
      <c r="J156" s="72"/>
      <c r="K156" s="45"/>
    </row>
    <row r="157" spans="1:11" ht="24" x14ac:dyDescent="0.25">
      <c r="A157" s="115">
        <v>150</v>
      </c>
      <c r="B157" s="87" t="s">
        <v>813</v>
      </c>
      <c r="C157" s="85" t="str">
        <f>"O-16-987"</f>
        <v>O-16-987</v>
      </c>
      <c r="D157" s="86">
        <v>42418</v>
      </c>
      <c r="E157" s="86">
        <v>43148</v>
      </c>
      <c r="F157" s="84">
        <v>147650.46</v>
      </c>
      <c r="G157" s="84">
        <v>184563.08</v>
      </c>
      <c r="H157" s="86">
        <v>42825</v>
      </c>
      <c r="I157" s="37">
        <v>48048.729999999996</v>
      </c>
      <c r="J157" s="72"/>
      <c r="K157" s="45"/>
    </row>
    <row r="158" spans="1:11" ht="24" x14ac:dyDescent="0.25">
      <c r="A158" s="115">
        <v>151</v>
      </c>
      <c r="B158" s="87" t="s">
        <v>814</v>
      </c>
      <c r="C158" s="85" t="str">
        <f>"BROJ:O-16-495"</f>
        <v>BROJ:O-16-495</v>
      </c>
      <c r="D158" s="86">
        <v>42408</v>
      </c>
      <c r="E158" s="86">
        <v>43139</v>
      </c>
      <c r="F158" s="84">
        <v>18611.25</v>
      </c>
      <c r="G158" s="84">
        <v>23264.06</v>
      </c>
      <c r="H158" s="86">
        <v>43100</v>
      </c>
      <c r="I158" s="37">
        <v>30355.517699999997</v>
      </c>
      <c r="J158" s="72"/>
      <c r="K158" s="45"/>
    </row>
    <row r="159" spans="1:11" ht="15" customHeight="1" x14ac:dyDescent="0.25">
      <c r="A159" s="115">
        <v>152</v>
      </c>
      <c r="B159" s="87" t="s">
        <v>506</v>
      </c>
      <c r="C159" s="85" t="str">
        <f>"O-16-378 I O-17-319"</f>
        <v>O-16-378 I O-17-319</v>
      </c>
      <c r="D159" s="86">
        <v>42405</v>
      </c>
      <c r="E159" s="86">
        <v>43076</v>
      </c>
      <c r="F159" s="84">
        <v>60000</v>
      </c>
      <c r="G159" s="84">
        <v>75000</v>
      </c>
      <c r="H159" s="86">
        <v>43100</v>
      </c>
      <c r="I159" s="37">
        <v>149252.25320000001</v>
      </c>
      <c r="J159" s="72"/>
      <c r="K159" s="45"/>
    </row>
    <row r="160" spans="1:11" ht="36" x14ac:dyDescent="0.25">
      <c r="A160" s="115">
        <v>153</v>
      </c>
      <c r="B160" s="87" t="s">
        <v>815</v>
      </c>
      <c r="C160" s="85" t="str">
        <f>"O-16-262"</f>
        <v>O-16-262</v>
      </c>
      <c r="D160" s="86">
        <v>42838</v>
      </c>
      <c r="E160" s="86">
        <v>43135</v>
      </c>
      <c r="F160" s="84">
        <v>86259.09</v>
      </c>
      <c r="G160" s="84">
        <v>107823.86</v>
      </c>
      <c r="H160" s="86">
        <v>43100</v>
      </c>
      <c r="I160" s="37">
        <v>87639.443899999984</v>
      </c>
      <c r="J160" s="72"/>
      <c r="K160" s="45"/>
    </row>
    <row r="161" spans="1:11" ht="24" x14ac:dyDescent="0.25">
      <c r="A161" s="115">
        <v>154</v>
      </c>
      <c r="B161" s="87" t="s">
        <v>500</v>
      </c>
      <c r="C161" s="85" t="str">
        <f>"O-16-541"</f>
        <v>O-16-541</v>
      </c>
      <c r="D161" s="86">
        <v>42401</v>
      </c>
      <c r="E161" s="86">
        <v>43131</v>
      </c>
      <c r="F161" s="84">
        <v>31740.37</v>
      </c>
      <c r="G161" s="84">
        <v>39675.46</v>
      </c>
      <c r="H161" s="86">
        <v>43100</v>
      </c>
      <c r="I161" s="37">
        <v>105845.29199999999</v>
      </c>
      <c r="J161" s="72"/>
      <c r="K161" s="45"/>
    </row>
    <row r="162" spans="1:11" ht="24" x14ac:dyDescent="0.25">
      <c r="A162" s="115">
        <v>155</v>
      </c>
      <c r="B162" s="87" t="s">
        <v>816</v>
      </c>
      <c r="C162" s="85" t="str">
        <f>"O-16-516"</f>
        <v>O-16-516</v>
      </c>
      <c r="D162" s="86">
        <v>42395</v>
      </c>
      <c r="E162" s="86">
        <v>43131</v>
      </c>
      <c r="F162" s="84">
        <v>4500</v>
      </c>
      <c r="G162" s="84">
        <v>5625</v>
      </c>
      <c r="H162" s="86">
        <v>43100</v>
      </c>
      <c r="I162" s="37">
        <v>7381.4424999999992</v>
      </c>
      <c r="J162" s="72"/>
      <c r="K162" s="45"/>
    </row>
    <row r="163" spans="1:11" ht="24" x14ac:dyDescent="0.25">
      <c r="A163" s="115">
        <v>156</v>
      </c>
      <c r="B163" s="87" t="s">
        <v>817</v>
      </c>
      <c r="C163" s="85" t="str">
        <f>"O-15-1775"</f>
        <v>O-15-1775</v>
      </c>
      <c r="D163" s="86">
        <v>42425</v>
      </c>
      <c r="E163" s="86">
        <v>43131</v>
      </c>
      <c r="F163" s="84">
        <v>2000</v>
      </c>
      <c r="G163" s="84">
        <v>2500</v>
      </c>
      <c r="H163" s="86">
        <v>43100</v>
      </c>
      <c r="I163" s="37">
        <v>9539.8102999999992</v>
      </c>
      <c r="J163" s="72"/>
      <c r="K163" s="45"/>
    </row>
    <row r="164" spans="1:11" ht="24" x14ac:dyDescent="0.25">
      <c r="A164" s="115">
        <v>157</v>
      </c>
      <c r="B164" s="87" t="s">
        <v>190</v>
      </c>
      <c r="C164" s="85" t="str">
        <f>"502/2016"</f>
        <v>502/2016</v>
      </c>
      <c r="D164" s="86">
        <v>42390</v>
      </c>
      <c r="E164" s="86">
        <v>43132</v>
      </c>
      <c r="F164" s="84">
        <v>516290.27</v>
      </c>
      <c r="G164" s="84">
        <v>645362.84</v>
      </c>
      <c r="H164" s="86">
        <v>43100</v>
      </c>
      <c r="I164" s="37">
        <v>1064260.4306999999</v>
      </c>
      <c r="J164" s="72"/>
      <c r="K164" s="45"/>
    </row>
    <row r="165" spans="1:11" ht="24" x14ac:dyDescent="0.25">
      <c r="A165" s="115">
        <v>158</v>
      </c>
      <c r="B165" s="87" t="s">
        <v>818</v>
      </c>
      <c r="C165" s="85" t="str">
        <f>"1/2016-CSSDSTUBICA"</f>
        <v>1/2016-CSSDSTUBICA</v>
      </c>
      <c r="D165" s="86">
        <v>42383</v>
      </c>
      <c r="E165" s="86">
        <v>43131</v>
      </c>
      <c r="F165" s="84">
        <v>3689.14</v>
      </c>
      <c r="G165" s="84">
        <v>4611.43</v>
      </c>
      <c r="H165" s="86">
        <v>43100</v>
      </c>
      <c r="I165" s="37">
        <v>14454.394999999999</v>
      </c>
      <c r="J165" s="72"/>
      <c r="K165" s="45"/>
    </row>
    <row r="166" spans="1:11" ht="24" x14ac:dyDescent="0.25">
      <c r="A166" s="115">
        <v>159</v>
      </c>
      <c r="B166" s="87" t="s">
        <v>819</v>
      </c>
      <c r="C166" s="85" t="str">
        <f>"O-16-398"</f>
        <v>O-16-398</v>
      </c>
      <c r="D166" s="86">
        <v>42397</v>
      </c>
      <c r="E166" s="86">
        <v>43128</v>
      </c>
      <c r="F166" s="84">
        <v>6779.97</v>
      </c>
      <c r="G166" s="84">
        <v>8474.9599999999991</v>
      </c>
      <c r="H166" s="86">
        <v>43100</v>
      </c>
      <c r="I166" s="37">
        <v>19350.391199999998</v>
      </c>
      <c r="J166" s="72"/>
      <c r="K166" s="45"/>
    </row>
    <row r="167" spans="1:11" x14ac:dyDescent="0.25">
      <c r="A167" s="115">
        <v>160</v>
      </c>
      <c r="B167" s="87" t="s">
        <v>820</v>
      </c>
      <c r="C167" s="85" t="str">
        <f>"O-16-578"</f>
        <v>O-16-578</v>
      </c>
      <c r="D167" s="86">
        <v>42368</v>
      </c>
      <c r="E167" s="86">
        <v>43131</v>
      </c>
      <c r="F167" s="84">
        <v>65503</v>
      </c>
      <c r="G167" s="88"/>
      <c r="H167" s="86">
        <v>43100</v>
      </c>
      <c r="I167" s="37">
        <v>97032.580199999982</v>
      </c>
      <c r="J167" s="72"/>
      <c r="K167" s="45"/>
    </row>
    <row r="168" spans="1:11" x14ac:dyDescent="0.25">
      <c r="A168" s="115">
        <v>161</v>
      </c>
      <c r="B168" s="87" t="s">
        <v>602</v>
      </c>
      <c r="C168" s="85" t="str">
        <f>"O-16-445"</f>
        <v>O-16-445</v>
      </c>
      <c r="D168" s="86">
        <v>42382</v>
      </c>
      <c r="E168" s="86">
        <v>43131</v>
      </c>
      <c r="F168" s="84">
        <v>9797.2199999999993</v>
      </c>
      <c r="G168" s="84">
        <v>12246.53</v>
      </c>
      <c r="H168" s="86">
        <v>43100</v>
      </c>
      <c r="I168" s="37">
        <v>53585.752599999993</v>
      </c>
      <c r="J168" s="72"/>
      <c r="K168" s="45"/>
    </row>
    <row r="169" spans="1:11" ht="24" x14ac:dyDescent="0.25">
      <c r="A169" s="115">
        <v>162</v>
      </c>
      <c r="B169" s="87" t="s">
        <v>821</v>
      </c>
      <c r="C169" s="85" t="str">
        <f>"O-16-428"</f>
        <v>O-16-428</v>
      </c>
      <c r="D169" s="86">
        <v>42382</v>
      </c>
      <c r="E169" s="86">
        <v>43131</v>
      </c>
      <c r="F169" s="84">
        <v>5760</v>
      </c>
      <c r="G169" s="84">
        <v>7200</v>
      </c>
      <c r="H169" s="86">
        <v>43100</v>
      </c>
      <c r="I169" s="37">
        <v>14340.976899999998</v>
      </c>
      <c r="J169" s="72"/>
      <c r="K169" s="45"/>
    </row>
    <row r="170" spans="1:11" ht="24" x14ac:dyDescent="0.25">
      <c r="A170" s="115">
        <v>163</v>
      </c>
      <c r="B170" s="87" t="s">
        <v>822</v>
      </c>
      <c r="C170" s="85" t="str">
        <f>"O-16-503"</f>
        <v>O-16-503</v>
      </c>
      <c r="D170" s="86">
        <v>42380</v>
      </c>
      <c r="E170" s="86">
        <v>43111</v>
      </c>
      <c r="F170" s="84">
        <v>8945.27</v>
      </c>
      <c r="G170" s="84">
        <v>11181.59</v>
      </c>
      <c r="H170" s="86">
        <v>43100</v>
      </c>
      <c r="I170" s="37">
        <v>43299.848499999993</v>
      </c>
      <c r="J170" s="72"/>
      <c r="K170" s="45"/>
    </row>
    <row r="171" spans="1:11" ht="24" x14ac:dyDescent="0.25">
      <c r="A171" s="115">
        <v>164</v>
      </c>
      <c r="B171" s="87" t="s">
        <v>823</v>
      </c>
      <c r="C171" s="85" t="str">
        <f>"O-16-500"</f>
        <v>O-16-500</v>
      </c>
      <c r="D171" s="86">
        <v>42380</v>
      </c>
      <c r="E171" s="86">
        <v>43131</v>
      </c>
      <c r="F171" s="84">
        <v>0</v>
      </c>
      <c r="G171" s="84">
        <v>174800</v>
      </c>
      <c r="H171" s="86">
        <v>43100</v>
      </c>
      <c r="I171" s="37">
        <v>264746.38919999998</v>
      </c>
      <c r="J171" s="72"/>
      <c r="K171" s="45"/>
    </row>
    <row r="172" spans="1:11" ht="24" x14ac:dyDescent="0.25">
      <c r="A172" s="115">
        <v>165</v>
      </c>
      <c r="B172" s="87" t="s">
        <v>824</v>
      </c>
      <c r="C172" s="85" t="str">
        <f>"023-01/16-01/02"</f>
        <v>023-01/16-01/02</v>
      </c>
      <c r="D172" s="86">
        <v>42388</v>
      </c>
      <c r="E172" s="86">
        <v>43131</v>
      </c>
      <c r="F172" s="84">
        <v>21256.38</v>
      </c>
      <c r="G172" s="84">
        <v>26570.48</v>
      </c>
      <c r="H172" s="86">
        <v>43100</v>
      </c>
      <c r="I172" s="37">
        <v>52961.348499999993</v>
      </c>
      <c r="J172" s="72"/>
      <c r="K172" s="45"/>
    </row>
    <row r="173" spans="1:11" ht="24" x14ac:dyDescent="0.25">
      <c r="A173" s="115">
        <v>166</v>
      </c>
      <c r="B173" s="87" t="s">
        <v>825</v>
      </c>
      <c r="C173" s="85" t="str">
        <f>"O-16-530"</f>
        <v>O-16-530</v>
      </c>
      <c r="D173" s="86">
        <v>42401</v>
      </c>
      <c r="E173" s="86">
        <v>43131</v>
      </c>
      <c r="F173" s="84">
        <v>103247</v>
      </c>
      <c r="G173" s="84">
        <v>129058.75</v>
      </c>
      <c r="H173" s="86">
        <v>43100</v>
      </c>
      <c r="I173" s="37">
        <v>255457.02079999997</v>
      </c>
      <c r="J173" s="72"/>
      <c r="K173" s="45"/>
    </row>
    <row r="174" spans="1:11" ht="24" x14ac:dyDescent="0.25">
      <c r="A174" s="115">
        <v>167</v>
      </c>
      <c r="B174" s="87" t="s">
        <v>577</v>
      </c>
      <c r="C174" s="85" t="str">
        <f>"O-16-481"</f>
        <v>O-16-481</v>
      </c>
      <c r="D174" s="86">
        <v>42383</v>
      </c>
      <c r="E174" s="86">
        <v>43132</v>
      </c>
      <c r="F174" s="84">
        <v>97838544</v>
      </c>
      <c r="G174" s="84">
        <v>122298180</v>
      </c>
      <c r="H174" s="86">
        <v>43100</v>
      </c>
      <c r="I174" s="37">
        <v>96526.622699999978</v>
      </c>
      <c r="J174" s="72"/>
      <c r="K174" s="45"/>
    </row>
    <row r="175" spans="1:11" ht="24" x14ac:dyDescent="0.25">
      <c r="A175" s="115">
        <v>168</v>
      </c>
      <c r="B175" s="87" t="s">
        <v>826</v>
      </c>
      <c r="C175" s="85" t="str">
        <f>"O-16-807"</f>
        <v>O-16-807</v>
      </c>
      <c r="D175" s="86">
        <v>42389</v>
      </c>
      <c r="E175" s="86">
        <v>43131</v>
      </c>
      <c r="F175" s="84">
        <v>28844.82</v>
      </c>
      <c r="G175" s="84">
        <v>36056.03</v>
      </c>
      <c r="H175" s="86">
        <v>43100</v>
      </c>
      <c r="I175" s="37">
        <v>62410.182499999995</v>
      </c>
      <c r="J175" s="72"/>
      <c r="K175" s="45"/>
    </row>
    <row r="176" spans="1:11" ht="24" x14ac:dyDescent="0.25">
      <c r="A176" s="115">
        <v>169</v>
      </c>
      <c r="B176" s="87" t="s">
        <v>827</v>
      </c>
      <c r="C176" s="85" t="str">
        <f>"O-16-510"</f>
        <v>O-16-510</v>
      </c>
      <c r="D176" s="86">
        <v>42388</v>
      </c>
      <c r="E176" s="86">
        <v>43120</v>
      </c>
      <c r="F176" s="84">
        <v>0</v>
      </c>
      <c r="G176" s="84">
        <v>0</v>
      </c>
      <c r="H176" s="86">
        <v>43100</v>
      </c>
      <c r="I176" s="37">
        <v>63436.821399999993</v>
      </c>
      <c r="J176" s="72"/>
      <c r="K176" s="45"/>
    </row>
    <row r="177" spans="1:11" ht="36" x14ac:dyDescent="0.25">
      <c r="A177" s="115">
        <v>170</v>
      </c>
      <c r="B177" s="87" t="s">
        <v>598</v>
      </c>
      <c r="C177" s="85" t="str">
        <f>"O-16-487"</f>
        <v>O-16-487</v>
      </c>
      <c r="D177" s="86">
        <v>42382</v>
      </c>
      <c r="E177" s="86">
        <v>43076</v>
      </c>
      <c r="F177" s="84">
        <v>52375.21</v>
      </c>
      <c r="G177" s="84">
        <v>65469.01</v>
      </c>
      <c r="H177" s="86">
        <v>43076</v>
      </c>
      <c r="I177" s="37">
        <v>111476.29669999999</v>
      </c>
      <c r="J177" s="72"/>
      <c r="K177" s="45"/>
    </row>
    <row r="178" spans="1:11" ht="24" x14ac:dyDescent="0.25">
      <c r="A178" s="115">
        <v>171</v>
      </c>
      <c r="B178" s="87" t="s">
        <v>828</v>
      </c>
      <c r="C178" s="85" t="str">
        <f>"O-16-547"</f>
        <v>O-16-547</v>
      </c>
      <c r="D178" s="86">
        <v>42390</v>
      </c>
      <c r="E178" s="86">
        <v>43131</v>
      </c>
      <c r="F178" s="84">
        <v>36504.519999999997</v>
      </c>
      <c r="G178" s="84">
        <v>45630.65</v>
      </c>
      <c r="H178" s="86">
        <v>43100</v>
      </c>
      <c r="I178" s="37">
        <v>189499.14679999996</v>
      </c>
      <c r="J178" s="72"/>
      <c r="K178" s="45"/>
    </row>
    <row r="179" spans="1:11" ht="24" x14ac:dyDescent="0.25">
      <c r="A179" s="115">
        <v>172</v>
      </c>
      <c r="B179" s="87" t="s">
        <v>829</v>
      </c>
      <c r="C179" s="85" t="str">
        <f>"0-16-453"</f>
        <v>0-16-453</v>
      </c>
      <c r="D179" s="86">
        <v>42381</v>
      </c>
      <c r="E179" s="86">
        <v>43131</v>
      </c>
      <c r="F179" s="84">
        <v>17680</v>
      </c>
      <c r="G179" s="84">
        <v>22100</v>
      </c>
      <c r="H179" s="86">
        <v>43100</v>
      </c>
      <c r="I179" s="37">
        <v>19552.728999999996</v>
      </c>
      <c r="J179" s="72"/>
      <c r="K179" s="45"/>
    </row>
    <row r="180" spans="1:11" ht="24" x14ac:dyDescent="0.25">
      <c r="A180" s="115">
        <v>173</v>
      </c>
      <c r="B180" s="87" t="s">
        <v>830</v>
      </c>
      <c r="C180" s="85" t="str">
        <f>"O-16-533"</f>
        <v>O-16-533</v>
      </c>
      <c r="D180" s="86">
        <v>42389</v>
      </c>
      <c r="E180" s="86">
        <v>43131</v>
      </c>
      <c r="F180" s="84">
        <v>3759.24</v>
      </c>
      <c r="G180" s="84">
        <v>4699.05</v>
      </c>
      <c r="H180" s="86">
        <v>43100</v>
      </c>
      <c r="I180" s="37">
        <v>12233.007099999999</v>
      </c>
      <c r="J180" s="72"/>
      <c r="K180" s="45"/>
    </row>
    <row r="181" spans="1:11" ht="36" x14ac:dyDescent="0.25">
      <c r="A181" s="115">
        <v>174</v>
      </c>
      <c r="B181" s="87" t="s">
        <v>831</v>
      </c>
      <c r="C181" s="85" t="str">
        <f>"0-16-627"</f>
        <v>0-16-627</v>
      </c>
      <c r="D181" s="86">
        <v>42369</v>
      </c>
      <c r="E181" s="86">
        <v>43132</v>
      </c>
      <c r="F181" s="84">
        <v>65771.740000000005</v>
      </c>
      <c r="G181" s="84">
        <v>82214.679999999993</v>
      </c>
      <c r="H181" s="86">
        <v>43100</v>
      </c>
      <c r="I181" s="37">
        <v>475660.57279999997</v>
      </c>
      <c r="J181" s="72"/>
      <c r="K181" s="45"/>
    </row>
    <row r="182" spans="1:11" ht="24" x14ac:dyDescent="0.25">
      <c r="A182" s="115">
        <v>175</v>
      </c>
      <c r="B182" s="87" t="s">
        <v>534</v>
      </c>
      <c r="C182" s="85" t="str">
        <f>"561-01-16-86"</f>
        <v>561-01-16-86</v>
      </c>
      <c r="D182" s="86">
        <v>42389</v>
      </c>
      <c r="E182" s="86">
        <v>42766</v>
      </c>
      <c r="F182" s="84">
        <v>49033.77</v>
      </c>
      <c r="G182" s="84">
        <v>61292.21</v>
      </c>
      <c r="H182" s="86">
        <v>42766</v>
      </c>
      <c r="I182" s="37">
        <v>62389.729499999994</v>
      </c>
      <c r="J182" s="72"/>
      <c r="K182" s="45"/>
    </row>
    <row r="183" spans="1:11" ht="24" x14ac:dyDescent="0.25">
      <c r="A183" s="115">
        <v>176</v>
      </c>
      <c r="B183" s="87" t="s">
        <v>832</v>
      </c>
      <c r="C183" s="85" t="str">
        <f>"O-16-579"</f>
        <v>O-16-579</v>
      </c>
      <c r="D183" s="86">
        <v>42369</v>
      </c>
      <c r="E183" s="86">
        <v>43132</v>
      </c>
      <c r="F183" s="84">
        <v>8839.25</v>
      </c>
      <c r="G183" s="84">
        <v>11049.06</v>
      </c>
      <c r="H183" s="86">
        <v>43100</v>
      </c>
      <c r="I183" s="37">
        <v>21002.801499999998</v>
      </c>
      <c r="J183" s="72"/>
      <c r="K183" s="45"/>
    </row>
    <row r="184" spans="1:11" x14ac:dyDescent="0.25">
      <c r="A184" s="115">
        <v>177</v>
      </c>
      <c r="B184" s="87" t="s">
        <v>833</v>
      </c>
      <c r="C184" s="85" t="str">
        <f>"O-16-584"</f>
        <v>O-16-584</v>
      </c>
      <c r="D184" s="86">
        <v>42389</v>
      </c>
      <c r="E184" s="86">
        <v>43131</v>
      </c>
      <c r="F184" s="84">
        <v>4029.68</v>
      </c>
      <c r="G184" s="84">
        <v>5037.1000000000004</v>
      </c>
      <c r="H184" s="86">
        <v>43100</v>
      </c>
      <c r="I184" s="37">
        <v>10711.473399999999</v>
      </c>
      <c r="J184" s="72"/>
      <c r="K184" s="45"/>
    </row>
    <row r="185" spans="1:11" x14ac:dyDescent="0.25">
      <c r="A185" s="115">
        <v>178</v>
      </c>
      <c r="B185" s="87" t="s">
        <v>478</v>
      </c>
      <c r="C185" s="85" t="str">
        <f>"II-2/2016"</f>
        <v>II-2/2016</v>
      </c>
      <c r="D185" s="86">
        <v>42381</v>
      </c>
      <c r="E185" s="86">
        <v>43131</v>
      </c>
      <c r="F185" s="84">
        <v>55454</v>
      </c>
      <c r="G185" s="84">
        <v>69317.5</v>
      </c>
      <c r="H185" s="86">
        <v>43100</v>
      </c>
      <c r="I185" s="37">
        <v>123881.12029999998</v>
      </c>
      <c r="J185" s="72"/>
      <c r="K185" s="45"/>
    </row>
    <row r="186" spans="1:11" ht="24" x14ac:dyDescent="0.25">
      <c r="A186" s="115">
        <v>179</v>
      </c>
      <c r="B186" s="87" t="s">
        <v>834</v>
      </c>
      <c r="C186" s="85" t="str">
        <f>"O-16-370"</f>
        <v>O-16-370</v>
      </c>
      <c r="D186" s="86">
        <v>42359</v>
      </c>
      <c r="E186" s="86">
        <v>43131</v>
      </c>
      <c r="F186" s="84">
        <v>72000</v>
      </c>
      <c r="G186" s="84">
        <v>90000</v>
      </c>
      <c r="H186" s="86">
        <v>43100</v>
      </c>
      <c r="I186" s="37">
        <v>111187.6608</v>
      </c>
      <c r="J186" s="72"/>
      <c r="K186" s="45"/>
    </row>
    <row r="187" spans="1:11" ht="24" x14ac:dyDescent="0.25">
      <c r="A187" s="115">
        <v>180</v>
      </c>
      <c r="B187" s="87" t="s">
        <v>835</v>
      </c>
      <c r="C187" s="85" t="str">
        <f>"11/2015"</f>
        <v>11/2015</v>
      </c>
      <c r="D187" s="86">
        <v>42401</v>
      </c>
      <c r="E187" s="86">
        <v>43131</v>
      </c>
      <c r="F187" s="84">
        <v>20000</v>
      </c>
      <c r="G187" s="84">
        <v>25000</v>
      </c>
      <c r="H187" s="86">
        <v>43100</v>
      </c>
      <c r="I187" s="37">
        <v>38619.716199999995</v>
      </c>
      <c r="J187" s="72"/>
      <c r="K187" s="45"/>
    </row>
    <row r="188" spans="1:11" x14ac:dyDescent="0.25">
      <c r="A188" s="115">
        <v>181</v>
      </c>
      <c r="B188" s="87" t="s">
        <v>836</v>
      </c>
      <c r="C188" s="85" t="str">
        <f>"O-16-273"</f>
        <v>O-16-273</v>
      </c>
      <c r="D188" s="86">
        <v>42383</v>
      </c>
      <c r="E188" s="86">
        <v>43131</v>
      </c>
      <c r="F188" s="84">
        <v>112300.71</v>
      </c>
      <c r="G188" s="84">
        <v>140375.89000000001</v>
      </c>
      <c r="H188" s="86">
        <v>43100</v>
      </c>
      <c r="I188" s="37">
        <v>145724.33669999999</v>
      </c>
      <c r="J188" s="72"/>
      <c r="K188" s="45"/>
    </row>
    <row r="189" spans="1:11" ht="36" x14ac:dyDescent="0.25">
      <c r="A189" s="115">
        <v>182</v>
      </c>
      <c r="B189" s="87" t="s">
        <v>488</v>
      </c>
      <c r="C189" s="85" t="str">
        <f>"O-16-810"</f>
        <v>O-16-810</v>
      </c>
      <c r="D189" s="86">
        <v>42387</v>
      </c>
      <c r="E189" s="86">
        <v>43131</v>
      </c>
      <c r="F189" s="84">
        <v>764464.05</v>
      </c>
      <c r="G189" s="84">
        <v>955580.06</v>
      </c>
      <c r="H189" s="86">
        <v>43100</v>
      </c>
      <c r="I189" s="37">
        <v>2049421.8783999998</v>
      </c>
      <c r="J189" s="72"/>
      <c r="K189" s="45"/>
    </row>
    <row r="190" spans="1:11" ht="24" x14ac:dyDescent="0.25">
      <c r="A190" s="115">
        <v>183</v>
      </c>
      <c r="B190" s="87" t="s">
        <v>837</v>
      </c>
      <c r="C190" s="85" t="str">
        <f>"O-16-535"</f>
        <v>O-16-535</v>
      </c>
      <c r="D190" s="86">
        <v>42494</v>
      </c>
      <c r="E190" s="86">
        <v>43131</v>
      </c>
      <c r="F190" s="84">
        <v>5079.63</v>
      </c>
      <c r="G190" s="84">
        <v>6349.54</v>
      </c>
      <c r="H190" s="86">
        <v>43100</v>
      </c>
      <c r="I190" s="37">
        <v>15790.789499999999</v>
      </c>
      <c r="J190" s="72"/>
      <c r="K190" s="45"/>
    </row>
    <row r="191" spans="1:11" ht="24" x14ac:dyDescent="0.25">
      <c r="A191" s="115">
        <v>184</v>
      </c>
      <c r="B191" s="87" t="s">
        <v>838</v>
      </c>
      <c r="C191" s="85" t="str">
        <f>"O-16-586"</f>
        <v>O-16-586</v>
      </c>
      <c r="D191" s="86">
        <v>42389</v>
      </c>
      <c r="E191" s="86">
        <v>43131</v>
      </c>
      <c r="F191" s="84">
        <v>6100.07</v>
      </c>
      <c r="G191" s="84">
        <v>7625.09</v>
      </c>
      <c r="H191" s="86">
        <v>43100</v>
      </c>
      <c r="I191" s="37">
        <v>22165.401999999998</v>
      </c>
      <c r="J191" s="72"/>
      <c r="K191" s="45"/>
    </row>
    <row r="192" spans="1:11" ht="24" x14ac:dyDescent="0.25">
      <c r="A192" s="115">
        <v>185</v>
      </c>
      <c r="B192" s="87" t="s">
        <v>839</v>
      </c>
      <c r="C192" s="85" t="str">
        <f>"001-16"</f>
        <v>001-16</v>
      </c>
      <c r="D192" s="86">
        <v>42401</v>
      </c>
      <c r="E192" s="86">
        <v>43131</v>
      </c>
      <c r="F192" s="84">
        <v>114132.55</v>
      </c>
      <c r="G192" s="84">
        <v>142665.69</v>
      </c>
      <c r="H192" s="86">
        <v>43100</v>
      </c>
      <c r="I192" s="37">
        <v>308485.75119999994</v>
      </c>
      <c r="J192" s="72"/>
      <c r="K192" s="45"/>
    </row>
    <row r="193" spans="1:11" x14ac:dyDescent="0.25">
      <c r="A193" s="115">
        <v>186</v>
      </c>
      <c r="B193" s="87" t="s">
        <v>672</v>
      </c>
      <c r="C193" s="85" t="str">
        <f>"O-16-504"</f>
        <v>O-16-504</v>
      </c>
      <c r="D193" s="86">
        <v>42388</v>
      </c>
      <c r="E193" s="86">
        <v>42766</v>
      </c>
      <c r="F193" s="84">
        <v>11453.32</v>
      </c>
      <c r="G193" s="84">
        <v>14316.65</v>
      </c>
      <c r="H193" s="86">
        <v>42766</v>
      </c>
      <c r="I193" s="37">
        <v>15620.668</v>
      </c>
      <c r="J193" s="72"/>
      <c r="K193" s="45"/>
    </row>
    <row r="194" spans="1:11" ht="36" x14ac:dyDescent="0.25">
      <c r="A194" s="115">
        <v>187</v>
      </c>
      <c r="B194" s="87" t="s">
        <v>840</v>
      </c>
      <c r="C194" s="85" t="str">
        <f>"406-09/16-03/1"</f>
        <v>406-09/16-03/1</v>
      </c>
      <c r="D194" s="86">
        <v>42383</v>
      </c>
      <c r="E194" s="86">
        <v>43131</v>
      </c>
      <c r="F194" s="84">
        <v>123327.32</v>
      </c>
      <c r="G194" s="84">
        <v>154159.15</v>
      </c>
      <c r="H194" s="86">
        <v>43100</v>
      </c>
      <c r="I194" s="37">
        <v>149431.75369999997</v>
      </c>
      <c r="J194" s="72"/>
      <c r="K194" s="45"/>
    </row>
    <row r="195" spans="1:11" ht="24" x14ac:dyDescent="0.25">
      <c r="A195" s="115">
        <v>188</v>
      </c>
      <c r="B195" s="87" t="s">
        <v>734</v>
      </c>
      <c r="C195" s="85" t="str">
        <f>"0-16-281"</f>
        <v>0-16-281</v>
      </c>
      <c r="D195" s="86">
        <v>42402</v>
      </c>
      <c r="E195" s="86">
        <v>43132</v>
      </c>
      <c r="F195" s="84">
        <v>0</v>
      </c>
      <c r="G195" s="84">
        <v>0</v>
      </c>
      <c r="H195" s="86">
        <v>43100</v>
      </c>
      <c r="I195" s="37">
        <v>1547.1395</v>
      </c>
      <c r="J195" s="72"/>
      <c r="K195" s="45"/>
    </row>
    <row r="196" spans="1:11" ht="36" x14ac:dyDescent="0.25">
      <c r="A196" s="115">
        <v>189</v>
      </c>
      <c r="B196" s="87" t="s">
        <v>726</v>
      </c>
      <c r="C196" s="85" t="str">
        <f>"O-16-372"</f>
        <v>O-16-372</v>
      </c>
      <c r="D196" s="86">
        <v>42353</v>
      </c>
      <c r="E196" s="86">
        <v>43131</v>
      </c>
      <c r="F196" s="84">
        <v>0</v>
      </c>
      <c r="G196" s="84">
        <v>0</v>
      </c>
      <c r="H196" s="86">
        <v>43100</v>
      </c>
      <c r="I196" s="37">
        <v>63143.812399999995</v>
      </c>
      <c r="J196" s="72"/>
      <c r="K196" s="45"/>
    </row>
    <row r="197" spans="1:11" ht="24" x14ac:dyDescent="0.25">
      <c r="A197" s="115">
        <v>190</v>
      </c>
      <c r="B197" s="87" t="s">
        <v>533</v>
      </c>
      <c r="C197" s="85" t="str">
        <f>"O-16-569"</f>
        <v>O-16-569</v>
      </c>
      <c r="D197" s="86">
        <v>42388</v>
      </c>
      <c r="E197" s="86">
        <v>43132</v>
      </c>
      <c r="F197" s="84">
        <v>37958.199999999997</v>
      </c>
      <c r="G197" s="84">
        <v>47447.75</v>
      </c>
      <c r="H197" s="86">
        <v>43100</v>
      </c>
      <c r="I197" s="37">
        <v>157897.45379999999</v>
      </c>
      <c r="J197" s="72"/>
      <c r="K197" s="45"/>
    </row>
    <row r="198" spans="1:11" ht="24" x14ac:dyDescent="0.25">
      <c r="A198" s="115">
        <v>191</v>
      </c>
      <c r="B198" s="87" t="s">
        <v>841</v>
      </c>
      <c r="C198" s="85" t="str">
        <f>"0-16-1336"</f>
        <v>0-16-1336</v>
      </c>
      <c r="D198" s="86">
        <v>42396</v>
      </c>
      <c r="E198" s="86">
        <v>43131</v>
      </c>
      <c r="F198" s="84">
        <v>5998</v>
      </c>
      <c r="G198" s="84">
        <v>7497.5</v>
      </c>
      <c r="H198" s="86">
        <v>43100</v>
      </c>
      <c r="I198" s="37">
        <v>7695.6502999999993</v>
      </c>
      <c r="J198" s="72"/>
      <c r="K198" s="45"/>
    </row>
    <row r="199" spans="1:11" x14ac:dyDescent="0.25">
      <c r="A199" s="115">
        <v>192</v>
      </c>
      <c r="B199" s="87" t="s">
        <v>842</v>
      </c>
      <c r="C199" s="85" t="str">
        <f>"O-16-606"</f>
        <v>O-16-606</v>
      </c>
      <c r="D199" s="86">
        <v>42383</v>
      </c>
      <c r="E199" s="86">
        <v>43131</v>
      </c>
      <c r="F199" s="84">
        <v>63000</v>
      </c>
      <c r="G199" s="84">
        <v>78750</v>
      </c>
      <c r="H199" s="86">
        <v>43100</v>
      </c>
      <c r="I199" s="37">
        <v>74634.567699999985</v>
      </c>
      <c r="J199" s="72"/>
      <c r="K199" s="45"/>
    </row>
    <row r="200" spans="1:11" x14ac:dyDescent="0.25">
      <c r="A200" s="115">
        <v>193</v>
      </c>
      <c r="B200" s="87" t="s">
        <v>721</v>
      </c>
      <c r="C200" s="85" t="str">
        <f>"O-16-594"</f>
        <v>O-16-594</v>
      </c>
      <c r="D200" s="86">
        <v>42369</v>
      </c>
      <c r="E200" s="86">
        <v>43132</v>
      </c>
      <c r="F200" s="84">
        <v>138065.56</v>
      </c>
      <c r="G200" s="84">
        <v>172581.95</v>
      </c>
      <c r="H200" s="86">
        <v>43100</v>
      </c>
      <c r="I200" s="37">
        <v>154106.7219</v>
      </c>
      <c r="J200" s="72"/>
      <c r="K200" s="45"/>
    </row>
    <row r="201" spans="1:11" ht="24" x14ac:dyDescent="0.25">
      <c r="A201" s="115">
        <v>194</v>
      </c>
      <c r="B201" s="87" t="s">
        <v>843</v>
      </c>
      <c r="C201" s="85" t="str">
        <f>"0-16-570"</f>
        <v>0-16-570</v>
      </c>
      <c r="D201" s="86">
        <v>42359</v>
      </c>
      <c r="E201" s="86">
        <v>43132</v>
      </c>
      <c r="F201" s="84">
        <v>166593.35</v>
      </c>
      <c r="G201" s="84">
        <v>208241.69</v>
      </c>
      <c r="H201" s="86">
        <v>43100</v>
      </c>
      <c r="I201" s="37">
        <v>463206.26649999997</v>
      </c>
      <c r="J201" s="72"/>
      <c r="K201" s="45"/>
    </row>
    <row r="202" spans="1:11" ht="48" x14ac:dyDescent="0.25">
      <c r="A202" s="115">
        <v>195</v>
      </c>
      <c r="B202" s="87" t="s">
        <v>844</v>
      </c>
      <c r="C202" s="85" t="str">
        <f>"O-16-410"</f>
        <v>O-16-410</v>
      </c>
      <c r="D202" s="86">
        <v>42381</v>
      </c>
      <c r="E202" s="86">
        <v>43131</v>
      </c>
      <c r="F202" s="84">
        <v>30127.7</v>
      </c>
      <c r="G202" s="84">
        <v>37659.629999999997</v>
      </c>
      <c r="H202" s="86">
        <v>43100</v>
      </c>
      <c r="I202" s="37">
        <v>105748.06679999999</v>
      </c>
      <c r="J202" s="72"/>
      <c r="K202" s="45"/>
    </row>
    <row r="203" spans="1:11" ht="24" x14ac:dyDescent="0.25">
      <c r="A203" s="115">
        <v>196</v>
      </c>
      <c r="B203" s="87" t="s">
        <v>845</v>
      </c>
      <c r="C203" s="85" t="str">
        <f>"O-16-576"</f>
        <v>O-16-576</v>
      </c>
      <c r="D203" s="86">
        <v>42421</v>
      </c>
      <c r="E203" s="86">
        <v>43131</v>
      </c>
      <c r="F203" s="84">
        <v>23481.68</v>
      </c>
      <c r="G203" s="84">
        <v>29352.1</v>
      </c>
      <c r="H203" s="86">
        <v>43100</v>
      </c>
      <c r="I203" s="37">
        <v>28721.447299999996</v>
      </c>
      <c r="J203" s="72"/>
      <c r="K203" s="45"/>
    </row>
    <row r="204" spans="1:11" ht="24" x14ac:dyDescent="0.25">
      <c r="A204" s="115">
        <v>197</v>
      </c>
      <c r="B204" s="87" t="s">
        <v>846</v>
      </c>
      <c r="C204" s="85" t="str">
        <f>"O-16-612"</f>
        <v>O-16-612</v>
      </c>
      <c r="D204" s="86">
        <v>42562</v>
      </c>
      <c r="E204" s="86">
        <v>43132</v>
      </c>
      <c r="F204" s="84">
        <v>134868</v>
      </c>
      <c r="G204" s="84">
        <v>168585</v>
      </c>
      <c r="H204" s="86">
        <v>43100</v>
      </c>
      <c r="I204" s="37">
        <v>308182.01850000001</v>
      </c>
      <c r="J204" s="72"/>
      <c r="K204" s="45"/>
    </row>
    <row r="205" spans="1:11" ht="24" x14ac:dyDescent="0.25">
      <c r="A205" s="115">
        <v>198</v>
      </c>
      <c r="B205" s="87" t="s">
        <v>575</v>
      </c>
      <c r="C205" s="85" t="str">
        <f>"O-16-167"</f>
        <v>O-16-167</v>
      </c>
      <c r="D205" s="86">
        <v>42563</v>
      </c>
      <c r="E205" s="86">
        <v>43131</v>
      </c>
      <c r="F205" s="84">
        <v>90400</v>
      </c>
      <c r="G205" s="84">
        <v>113000</v>
      </c>
      <c r="H205" s="86">
        <v>43100</v>
      </c>
      <c r="I205" s="37">
        <v>145435.48609999998</v>
      </c>
      <c r="J205" s="72"/>
      <c r="K205" s="45"/>
    </row>
    <row r="206" spans="1:11" ht="24" x14ac:dyDescent="0.25">
      <c r="A206" s="115">
        <v>199</v>
      </c>
      <c r="B206" s="87" t="s">
        <v>816</v>
      </c>
      <c r="C206" s="85" t="str">
        <f>"0-16-516"</f>
        <v>0-16-516</v>
      </c>
      <c r="D206" s="86">
        <v>42380</v>
      </c>
      <c r="E206" s="86">
        <v>43132</v>
      </c>
      <c r="F206" s="84">
        <v>4500</v>
      </c>
      <c r="G206" s="84">
        <v>5625</v>
      </c>
      <c r="H206" s="86">
        <v>43100</v>
      </c>
      <c r="I206" s="37">
        <v>7381.4424999999992</v>
      </c>
      <c r="J206" s="72"/>
      <c r="K206" s="45"/>
    </row>
    <row r="207" spans="1:11" ht="24" x14ac:dyDescent="0.25">
      <c r="A207" s="115">
        <v>200</v>
      </c>
      <c r="B207" s="87" t="s">
        <v>740</v>
      </c>
      <c r="C207" s="85" t="str">
        <f>"2016/1"</f>
        <v>2016/1</v>
      </c>
      <c r="D207" s="86">
        <v>42384</v>
      </c>
      <c r="E207" s="86">
        <v>43131</v>
      </c>
      <c r="F207" s="84">
        <v>9665.34</v>
      </c>
      <c r="G207" s="84">
        <v>12081.68</v>
      </c>
      <c r="H207" s="86">
        <v>43100</v>
      </c>
      <c r="I207" s="37">
        <v>19249.9568</v>
      </c>
      <c r="J207" s="72"/>
      <c r="K207" s="45"/>
    </row>
    <row r="208" spans="1:11" ht="24" x14ac:dyDescent="0.25">
      <c r="A208" s="115">
        <v>201</v>
      </c>
      <c r="B208" s="87" t="s">
        <v>847</v>
      </c>
      <c r="C208" s="85" t="str">
        <f>"O-16-529"</f>
        <v>O-16-529</v>
      </c>
      <c r="D208" s="86">
        <v>42380</v>
      </c>
      <c r="E208" s="86">
        <v>43132</v>
      </c>
      <c r="F208" s="84">
        <v>11532.26</v>
      </c>
      <c r="G208" s="84">
        <v>14415.33</v>
      </c>
      <c r="H208" s="86">
        <v>43100</v>
      </c>
      <c r="I208" s="37">
        <v>25183.383399999999</v>
      </c>
      <c r="J208" s="72"/>
      <c r="K208" s="45"/>
    </row>
    <row r="209" spans="1:11" x14ac:dyDescent="0.25">
      <c r="A209" s="115">
        <v>202</v>
      </c>
      <c r="B209" s="87" t="s">
        <v>546</v>
      </c>
      <c r="C209" s="85" t="str">
        <f>"O-16-357"</f>
        <v>O-16-357</v>
      </c>
      <c r="D209" s="86">
        <v>42380</v>
      </c>
      <c r="E209" s="86">
        <v>43132</v>
      </c>
      <c r="F209" s="84">
        <v>7604.35</v>
      </c>
      <c r="G209" s="84">
        <v>9505.44</v>
      </c>
      <c r="H209" s="86">
        <v>43100</v>
      </c>
      <c r="I209" s="37">
        <v>34365.492199999993</v>
      </c>
      <c r="J209" s="72"/>
      <c r="K209" s="45"/>
    </row>
    <row r="210" spans="1:11" ht="24" x14ac:dyDescent="0.25">
      <c r="A210" s="115">
        <v>203</v>
      </c>
      <c r="B210" s="87" t="s">
        <v>848</v>
      </c>
      <c r="C210" s="85" t="str">
        <f>"O-16-423"</f>
        <v>O-16-423</v>
      </c>
      <c r="D210" s="86">
        <v>42383</v>
      </c>
      <c r="E210" s="86">
        <v>43132</v>
      </c>
      <c r="F210" s="84">
        <v>3951.94</v>
      </c>
      <c r="G210" s="84">
        <v>4939.93</v>
      </c>
      <c r="H210" s="86">
        <v>43100</v>
      </c>
      <c r="I210" s="37">
        <v>12394.551899999999</v>
      </c>
      <c r="J210" s="72"/>
      <c r="K210" s="45"/>
    </row>
    <row r="211" spans="1:11" ht="24" x14ac:dyDescent="0.25">
      <c r="A211" s="115">
        <v>204</v>
      </c>
      <c r="B211" s="87" t="s">
        <v>608</v>
      </c>
      <c r="C211" s="85" t="str">
        <f>"O-16-379"</f>
        <v>O-16-379</v>
      </c>
      <c r="D211" s="86">
        <v>42388</v>
      </c>
      <c r="E211" s="86">
        <v>43132</v>
      </c>
      <c r="F211" s="84">
        <v>31590.720000000001</v>
      </c>
      <c r="G211" s="84">
        <v>39488.400000000001</v>
      </c>
      <c r="H211" s="86">
        <v>43100</v>
      </c>
      <c r="I211" s="37">
        <v>42829.011399999996</v>
      </c>
      <c r="J211" s="72"/>
      <c r="K211" s="45"/>
    </row>
    <row r="212" spans="1:11" ht="36" x14ac:dyDescent="0.25">
      <c r="A212" s="115">
        <v>205</v>
      </c>
      <c r="B212" s="87" t="s">
        <v>849</v>
      </c>
      <c r="C212" s="85" t="str">
        <f>"O-16-514-11/2015"</f>
        <v>O-16-514-11/2015</v>
      </c>
      <c r="D212" s="86">
        <v>42551</v>
      </c>
      <c r="E212" s="86">
        <v>43132</v>
      </c>
      <c r="F212" s="84">
        <v>35866.400000000001</v>
      </c>
      <c r="G212" s="84">
        <v>44833</v>
      </c>
      <c r="H212" s="86">
        <v>43100</v>
      </c>
      <c r="I212" s="37">
        <v>85279.619699999996</v>
      </c>
      <c r="J212" s="72"/>
      <c r="K212" s="45"/>
    </row>
    <row r="213" spans="1:11" ht="24" x14ac:dyDescent="0.25">
      <c r="A213" s="115">
        <v>206</v>
      </c>
      <c r="B213" s="87" t="s">
        <v>850</v>
      </c>
      <c r="C213" s="85" t="str">
        <f>"O-16-456"</f>
        <v>O-16-456</v>
      </c>
      <c r="D213" s="86">
        <v>42410</v>
      </c>
      <c r="E213" s="86">
        <v>43131</v>
      </c>
      <c r="F213" s="84">
        <v>11276.02</v>
      </c>
      <c r="G213" s="84">
        <v>14095.03</v>
      </c>
      <c r="H213" s="86">
        <v>43100</v>
      </c>
      <c r="I213" s="37">
        <v>23994.058399999998</v>
      </c>
      <c r="J213" s="72"/>
      <c r="K213" s="45"/>
    </row>
    <row r="214" spans="1:11" ht="36" x14ac:dyDescent="0.25">
      <c r="A214" s="115">
        <v>207</v>
      </c>
      <c r="B214" s="87" t="s">
        <v>635</v>
      </c>
      <c r="C214" s="85" t="str">
        <f>"O-16-480"</f>
        <v>O-16-480</v>
      </c>
      <c r="D214" s="86">
        <v>42381</v>
      </c>
      <c r="E214" s="86">
        <v>43100</v>
      </c>
      <c r="F214" s="84">
        <v>39068.879999999997</v>
      </c>
      <c r="G214" s="84">
        <v>48836.1</v>
      </c>
      <c r="H214" s="86">
        <v>43100</v>
      </c>
      <c r="I214" s="37">
        <v>166652.14009999996</v>
      </c>
      <c r="J214" s="72"/>
      <c r="K214" s="45"/>
    </row>
    <row r="215" spans="1:11" x14ac:dyDescent="0.25">
      <c r="A215" s="115">
        <v>208</v>
      </c>
      <c r="B215" s="87" t="s">
        <v>851</v>
      </c>
      <c r="C215" s="85" t="str">
        <f>"O-16-179"</f>
        <v>O-16-179</v>
      </c>
      <c r="D215" s="86">
        <v>42354</v>
      </c>
      <c r="E215" s="86">
        <v>43132</v>
      </c>
      <c r="F215" s="84">
        <v>22890.11</v>
      </c>
      <c r="G215" s="84">
        <v>28612.639999999999</v>
      </c>
      <c r="H215" s="86">
        <v>43100</v>
      </c>
      <c r="I215" s="37">
        <v>116527.66789999999</v>
      </c>
      <c r="J215" s="72"/>
      <c r="K215" s="45"/>
    </row>
    <row r="216" spans="1:11" ht="24" x14ac:dyDescent="0.25">
      <c r="A216" s="115">
        <v>209</v>
      </c>
      <c r="B216" s="87" t="s">
        <v>852</v>
      </c>
      <c r="C216" s="85" t="str">
        <f>"54-58/16"</f>
        <v>54-58/16</v>
      </c>
      <c r="D216" s="86">
        <v>42408</v>
      </c>
      <c r="E216" s="86">
        <v>43131</v>
      </c>
      <c r="F216" s="84">
        <v>0</v>
      </c>
      <c r="G216" s="84">
        <v>0</v>
      </c>
      <c r="H216" s="86">
        <v>43100</v>
      </c>
      <c r="I216" s="37">
        <v>32533.649199999996</v>
      </c>
      <c r="J216" s="72"/>
      <c r="K216" s="45"/>
    </row>
    <row r="217" spans="1:11" ht="24" x14ac:dyDescent="0.25">
      <c r="A217" s="115">
        <v>210</v>
      </c>
      <c r="B217" s="87" t="s">
        <v>853</v>
      </c>
      <c r="C217" s="85" t="str">
        <f>"O-16-618"</f>
        <v>O-16-618</v>
      </c>
      <c r="D217" s="86">
        <v>42401</v>
      </c>
      <c r="E217" s="86">
        <v>43131</v>
      </c>
      <c r="F217" s="84">
        <v>4677.37</v>
      </c>
      <c r="G217" s="84">
        <v>5846.71</v>
      </c>
      <c r="H217" s="86">
        <v>43100</v>
      </c>
      <c r="I217" s="37">
        <v>16177.735399999998</v>
      </c>
      <c r="J217" s="72"/>
      <c r="K217" s="45"/>
    </row>
    <row r="218" spans="1:11" ht="24" x14ac:dyDescent="0.25">
      <c r="A218" s="115">
        <v>211</v>
      </c>
      <c r="B218" s="87" t="s">
        <v>854</v>
      </c>
      <c r="C218" s="85" t="str">
        <f>"O-16-173"</f>
        <v>O-16-173</v>
      </c>
      <c r="D218" s="86">
        <v>42354</v>
      </c>
      <c r="E218" s="86">
        <v>43085</v>
      </c>
      <c r="F218" s="84">
        <v>4068.96</v>
      </c>
      <c r="G218" s="84">
        <v>5086.2</v>
      </c>
      <c r="H218" s="86">
        <v>43085</v>
      </c>
      <c r="I218" s="37">
        <v>13383.799099999998</v>
      </c>
      <c r="J218" s="72"/>
      <c r="K218" s="45"/>
    </row>
    <row r="219" spans="1:11" x14ac:dyDescent="0.25">
      <c r="A219" s="115">
        <v>212</v>
      </c>
      <c r="B219" s="87" t="s">
        <v>677</v>
      </c>
      <c r="C219" s="85" t="str">
        <f>"O-16-797"</f>
        <v>O-16-797</v>
      </c>
      <c r="D219" s="86">
        <v>42380</v>
      </c>
      <c r="E219" s="86">
        <v>43132</v>
      </c>
      <c r="F219" s="84">
        <v>3835.91</v>
      </c>
      <c r="G219" s="84">
        <v>4794.8900000000003</v>
      </c>
      <c r="H219" s="86">
        <v>43100</v>
      </c>
      <c r="I219" s="37">
        <v>12379.692399999998</v>
      </c>
      <c r="J219" s="72"/>
      <c r="K219" s="45"/>
    </row>
    <row r="220" spans="1:11" x14ac:dyDescent="0.25">
      <c r="A220" s="115">
        <v>213</v>
      </c>
      <c r="B220" s="87" t="s">
        <v>605</v>
      </c>
      <c r="C220" s="85" t="str">
        <f>"O-16-435"</f>
        <v>O-16-435</v>
      </c>
      <c r="D220" s="86">
        <v>42390</v>
      </c>
      <c r="E220" s="86">
        <v>43131</v>
      </c>
      <c r="F220" s="84">
        <v>69113.899999999994</v>
      </c>
      <c r="G220" s="84">
        <v>86392.38</v>
      </c>
      <c r="H220" s="86">
        <v>43100</v>
      </c>
      <c r="I220" s="37">
        <v>106566.19809999998</v>
      </c>
      <c r="J220" s="72"/>
      <c r="K220" s="45"/>
    </row>
    <row r="221" spans="1:11" ht="24" x14ac:dyDescent="0.25">
      <c r="A221" s="115">
        <v>214</v>
      </c>
      <c r="B221" s="87" t="s">
        <v>855</v>
      </c>
      <c r="C221" s="85" t="str">
        <f>" O-16-2016"</f>
        <v xml:space="preserve"> O-16-2016</v>
      </c>
      <c r="D221" s="86">
        <v>42394</v>
      </c>
      <c r="E221" s="86">
        <v>43132</v>
      </c>
      <c r="F221" s="84">
        <v>12607</v>
      </c>
      <c r="G221" s="84">
        <v>15758.75</v>
      </c>
      <c r="H221" s="86">
        <v>43100</v>
      </c>
      <c r="I221" s="37">
        <v>21422.980699999996</v>
      </c>
      <c r="J221" s="72"/>
      <c r="K221" s="45"/>
    </row>
    <row r="222" spans="1:11" ht="24" x14ac:dyDescent="0.25">
      <c r="A222" s="115">
        <v>215</v>
      </c>
      <c r="B222" s="87" t="s">
        <v>856</v>
      </c>
      <c r="C222" s="85" t="str">
        <f>"O-16-336"</f>
        <v>O-16-336</v>
      </c>
      <c r="D222" s="86">
        <v>42380</v>
      </c>
      <c r="E222" s="86">
        <v>43131</v>
      </c>
      <c r="F222" s="84">
        <v>0</v>
      </c>
      <c r="G222" s="84">
        <v>0</v>
      </c>
      <c r="H222" s="86">
        <v>43100</v>
      </c>
      <c r="I222" s="37">
        <v>84835.87999999999</v>
      </c>
      <c r="J222" s="72"/>
      <c r="K222" s="45"/>
    </row>
    <row r="223" spans="1:11" x14ac:dyDescent="0.25">
      <c r="A223" s="115">
        <v>216</v>
      </c>
      <c r="B223" s="87" t="s">
        <v>857</v>
      </c>
      <c r="C223" s="85" t="str">
        <f>"O-16-438"</f>
        <v>O-16-438</v>
      </c>
      <c r="D223" s="86">
        <v>42383</v>
      </c>
      <c r="E223" s="86">
        <v>43131</v>
      </c>
      <c r="F223" s="84">
        <v>167147</v>
      </c>
      <c r="G223" s="84">
        <v>208933.75</v>
      </c>
      <c r="H223" s="86">
        <v>43100</v>
      </c>
      <c r="I223" s="37">
        <v>240854.93479999996</v>
      </c>
      <c r="J223" s="72"/>
      <c r="K223" s="45"/>
    </row>
    <row r="224" spans="1:11" x14ac:dyDescent="0.25">
      <c r="A224" s="115">
        <v>217</v>
      </c>
      <c r="B224" s="87" t="s">
        <v>713</v>
      </c>
      <c r="C224" s="85" t="str">
        <f>"O-16-441"</f>
        <v>O-16-441</v>
      </c>
      <c r="D224" s="86">
        <v>42380</v>
      </c>
      <c r="E224" s="86">
        <v>43132</v>
      </c>
      <c r="F224" s="84">
        <v>19171</v>
      </c>
      <c r="G224" s="84">
        <v>23963.75</v>
      </c>
      <c r="H224" s="86">
        <v>43100</v>
      </c>
      <c r="I224" s="37">
        <v>59527.27</v>
      </c>
      <c r="J224" s="72"/>
      <c r="K224" s="45"/>
    </row>
    <row r="225" spans="1:11" x14ac:dyDescent="0.25">
      <c r="A225" s="115">
        <v>218</v>
      </c>
      <c r="B225" s="87" t="s">
        <v>695</v>
      </c>
      <c r="C225" s="85" t="str">
        <f>"O-16-365"</f>
        <v>O-16-365</v>
      </c>
      <c r="D225" s="86">
        <v>42383</v>
      </c>
      <c r="E225" s="86">
        <v>43132</v>
      </c>
      <c r="F225" s="84">
        <v>3802.47</v>
      </c>
      <c r="G225" s="84">
        <v>4753.09</v>
      </c>
      <c r="H225" s="86">
        <v>43100</v>
      </c>
      <c r="I225" s="37">
        <v>11830.0039</v>
      </c>
      <c r="J225" s="72"/>
      <c r="K225" s="45"/>
    </row>
    <row r="226" spans="1:11" ht="36" x14ac:dyDescent="0.25">
      <c r="A226" s="115">
        <v>219</v>
      </c>
      <c r="B226" s="87" t="s">
        <v>858</v>
      </c>
      <c r="C226" s="85" t="str">
        <f>"O-16-450"</f>
        <v>O-16-450</v>
      </c>
      <c r="D226" s="86">
        <v>42394</v>
      </c>
      <c r="E226" s="86">
        <v>43131</v>
      </c>
      <c r="F226" s="84">
        <v>18739</v>
      </c>
      <c r="G226" s="84">
        <v>23423.75</v>
      </c>
      <c r="H226" s="86">
        <v>43100</v>
      </c>
      <c r="I226" s="37">
        <v>95864.6348</v>
      </c>
      <c r="J226" s="72"/>
      <c r="K226" s="45"/>
    </row>
    <row r="227" spans="1:11" ht="24" x14ac:dyDescent="0.25">
      <c r="A227" s="115">
        <v>220</v>
      </c>
      <c r="B227" s="87" t="s">
        <v>859</v>
      </c>
      <c r="C227" s="85" t="str">
        <f>"O-16-867"</f>
        <v>O-16-867</v>
      </c>
      <c r="D227" s="86">
        <v>42398</v>
      </c>
      <c r="E227" s="86">
        <v>43132</v>
      </c>
      <c r="F227" s="84">
        <v>6496.73</v>
      </c>
      <c r="G227" s="84">
        <v>8120.91</v>
      </c>
      <c r="H227" s="86">
        <v>43100</v>
      </c>
      <c r="I227" s="37">
        <v>39720.991599999994</v>
      </c>
      <c r="J227" s="72"/>
      <c r="K227" s="45"/>
    </row>
    <row r="228" spans="1:11" ht="24" x14ac:dyDescent="0.25">
      <c r="A228" s="115">
        <v>221</v>
      </c>
      <c r="B228" s="87" t="s">
        <v>860</v>
      </c>
      <c r="C228" s="85" t="str">
        <f>"O-16-818"</f>
        <v>O-16-818</v>
      </c>
      <c r="D228" s="86">
        <v>42381</v>
      </c>
      <c r="E228" s="86">
        <v>43131</v>
      </c>
      <c r="F228" s="84">
        <v>0</v>
      </c>
      <c r="G228" s="84">
        <v>0</v>
      </c>
      <c r="H228" s="86">
        <v>43100</v>
      </c>
      <c r="I228" s="37">
        <v>97251.246499999994</v>
      </c>
      <c r="J228" s="72"/>
      <c r="K228" s="45"/>
    </row>
    <row r="229" spans="1:11" ht="36" x14ac:dyDescent="0.25">
      <c r="A229" s="115">
        <v>222</v>
      </c>
      <c r="B229" s="87" t="s">
        <v>634</v>
      </c>
      <c r="C229" s="85" t="str">
        <f>"0-16-374"</f>
        <v>0-16-374</v>
      </c>
      <c r="D229" s="86">
        <v>42380</v>
      </c>
      <c r="E229" s="86">
        <v>43111</v>
      </c>
      <c r="F229" s="84">
        <v>0</v>
      </c>
      <c r="G229" s="84">
        <v>0</v>
      </c>
      <c r="H229" s="86">
        <v>43100</v>
      </c>
      <c r="I229" s="37">
        <v>381625.78089999995</v>
      </c>
      <c r="J229" s="72"/>
      <c r="K229" s="45"/>
    </row>
    <row r="230" spans="1:11" ht="24" x14ac:dyDescent="0.25">
      <c r="A230" s="115">
        <v>223</v>
      </c>
      <c r="B230" s="87" t="s">
        <v>861</v>
      </c>
      <c r="C230" s="85" t="str">
        <f>"O-16-276"</f>
        <v>O-16-276</v>
      </c>
      <c r="D230" s="86">
        <v>42761</v>
      </c>
      <c r="E230" s="86">
        <v>43132</v>
      </c>
      <c r="F230" s="84">
        <v>16483</v>
      </c>
      <c r="G230" s="84">
        <v>20603.75</v>
      </c>
      <c r="H230" s="86">
        <v>43100</v>
      </c>
      <c r="I230" s="37">
        <v>22892.1276</v>
      </c>
      <c r="J230" s="72"/>
      <c r="K230" s="45"/>
    </row>
    <row r="231" spans="1:11" ht="24" x14ac:dyDescent="0.25">
      <c r="A231" s="115">
        <v>224</v>
      </c>
      <c r="B231" s="87" t="s">
        <v>862</v>
      </c>
      <c r="C231" s="85" t="str">
        <f>"030-08/16-01/3"</f>
        <v>030-08/16-01/3</v>
      </c>
      <c r="D231" s="86">
        <v>42380</v>
      </c>
      <c r="E231" s="86">
        <v>43132</v>
      </c>
      <c r="F231" s="84">
        <v>0</v>
      </c>
      <c r="G231" s="84">
        <v>0</v>
      </c>
      <c r="H231" s="86">
        <v>43100</v>
      </c>
      <c r="I231" s="37">
        <v>4315.8428999999996</v>
      </c>
      <c r="J231" s="72"/>
      <c r="K231" s="45"/>
    </row>
    <row r="232" spans="1:11" ht="24" customHeight="1" x14ac:dyDescent="0.25">
      <c r="A232" s="115">
        <v>225</v>
      </c>
      <c r="B232" s="125" t="s">
        <v>576</v>
      </c>
      <c r="C232" s="126" t="str">
        <f>"O-16-791"</f>
        <v>O-16-791</v>
      </c>
      <c r="D232" s="124">
        <v>42384</v>
      </c>
      <c r="E232" s="124">
        <v>43076</v>
      </c>
      <c r="F232" s="123">
        <v>53040</v>
      </c>
      <c r="G232" s="123">
        <v>66300</v>
      </c>
      <c r="H232" s="124">
        <v>43100</v>
      </c>
      <c r="I232" s="37">
        <v>116490.7169</v>
      </c>
      <c r="J232" s="72"/>
      <c r="K232" s="45"/>
    </row>
    <row r="233" spans="1:11" ht="24" x14ac:dyDescent="0.25">
      <c r="A233" s="115">
        <v>226</v>
      </c>
      <c r="B233" s="87" t="s">
        <v>486</v>
      </c>
      <c r="C233" s="85" t="str">
        <f>"01-10/1-16"</f>
        <v>01-10/1-16</v>
      </c>
      <c r="D233" s="86">
        <v>42382</v>
      </c>
      <c r="E233" s="86">
        <v>43131</v>
      </c>
      <c r="F233" s="84">
        <v>87357.65</v>
      </c>
      <c r="G233" s="84">
        <v>109197.06</v>
      </c>
      <c r="H233" s="86">
        <v>43100</v>
      </c>
      <c r="I233" s="37">
        <v>115810.8072</v>
      </c>
      <c r="J233" s="72"/>
      <c r="K233" s="45"/>
    </row>
    <row r="234" spans="1:11" ht="24" x14ac:dyDescent="0.25">
      <c r="A234" s="115">
        <v>227</v>
      </c>
      <c r="B234" s="87" t="s">
        <v>654</v>
      </c>
      <c r="C234" s="85" t="str">
        <f>"O-16-858"</f>
        <v>O-16-858</v>
      </c>
      <c r="D234" s="86">
        <v>42389</v>
      </c>
      <c r="E234" s="86">
        <v>43076</v>
      </c>
      <c r="F234" s="84">
        <v>14409</v>
      </c>
      <c r="G234" s="84">
        <v>18011.25</v>
      </c>
      <c r="H234" s="86">
        <v>43100</v>
      </c>
      <c r="I234" s="37">
        <v>19121.464499999998</v>
      </c>
      <c r="J234" s="72"/>
      <c r="K234" s="45"/>
    </row>
    <row r="235" spans="1:11" ht="24" x14ac:dyDescent="0.25">
      <c r="A235" s="115">
        <v>228</v>
      </c>
      <c r="B235" s="87" t="s">
        <v>863</v>
      </c>
      <c r="C235" s="85" t="str">
        <f>"O-16-498"</f>
        <v>O-16-498</v>
      </c>
      <c r="D235" s="86">
        <v>42419</v>
      </c>
      <c r="E235" s="86">
        <v>43131</v>
      </c>
      <c r="F235" s="84">
        <v>8615.65</v>
      </c>
      <c r="G235" s="84">
        <v>10769.56</v>
      </c>
      <c r="H235" s="86">
        <v>43100</v>
      </c>
      <c r="I235" s="37">
        <v>53886.569899999995</v>
      </c>
      <c r="J235" s="72"/>
      <c r="K235" s="45"/>
    </row>
    <row r="236" spans="1:11" ht="24" x14ac:dyDescent="0.25">
      <c r="A236" s="115">
        <v>229</v>
      </c>
      <c r="B236" s="87" t="s">
        <v>864</v>
      </c>
      <c r="C236" s="85" t="str">
        <f>"O-16-429"</f>
        <v>O-16-429</v>
      </c>
      <c r="D236" s="86">
        <v>42389</v>
      </c>
      <c r="E236" s="86">
        <v>43132</v>
      </c>
      <c r="F236" s="84">
        <v>52036.83</v>
      </c>
      <c r="G236" s="84">
        <v>65046.04</v>
      </c>
      <c r="H236" s="86">
        <v>43100</v>
      </c>
      <c r="I236" s="37">
        <v>99517.065999999992</v>
      </c>
      <c r="J236" s="72"/>
      <c r="K236" s="45"/>
    </row>
    <row r="237" spans="1:11" ht="36" x14ac:dyDescent="0.25">
      <c r="A237" s="115">
        <v>230</v>
      </c>
      <c r="B237" s="87" t="s">
        <v>865</v>
      </c>
      <c r="C237" s="85" t="str">
        <f>"O-16-178"</f>
        <v>O-16-178</v>
      </c>
      <c r="D237" s="86">
        <v>42353</v>
      </c>
      <c r="E237" s="86">
        <v>43132</v>
      </c>
      <c r="F237" s="84">
        <v>43774.48</v>
      </c>
      <c r="G237" s="84">
        <v>54718.1</v>
      </c>
      <c r="H237" s="86">
        <v>43100</v>
      </c>
      <c r="I237" s="37">
        <v>300196.90739999997</v>
      </c>
      <c r="J237" s="72"/>
      <c r="K237" s="45"/>
    </row>
    <row r="238" spans="1:11" ht="24" x14ac:dyDescent="0.25">
      <c r="A238" s="115">
        <v>231</v>
      </c>
      <c r="B238" s="87" t="s">
        <v>623</v>
      </c>
      <c r="C238" s="85" t="str">
        <f>"107-200-100/16"</f>
        <v>107-200-100/16</v>
      </c>
      <c r="D238" s="86">
        <v>42539</v>
      </c>
      <c r="E238" s="86">
        <v>43131</v>
      </c>
      <c r="F238" s="84">
        <v>200000</v>
      </c>
      <c r="G238" s="84">
        <v>250000</v>
      </c>
      <c r="H238" s="86">
        <v>43008</v>
      </c>
      <c r="I238" s="37">
        <v>123763.20479999999</v>
      </c>
      <c r="J238" s="72"/>
      <c r="K238" s="45"/>
    </row>
    <row r="239" spans="1:11" ht="24" x14ac:dyDescent="0.25">
      <c r="A239" s="115">
        <v>232</v>
      </c>
      <c r="B239" s="87" t="s">
        <v>866</v>
      </c>
      <c r="C239" s="85" t="str">
        <f>"O-16-460"</f>
        <v>O-16-460</v>
      </c>
      <c r="D239" s="86">
        <v>42390</v>
      </c>
      <c r="E239" s="86">
        <v>43132</v>
      </c>
      <c r="F239" s="84">
        <v>7772.94</v>
      </c>
      <c r="G239" s="84">
        <v>9716.18</v>
      </c>
      <c r="H239" s="86">
        <v>43008</v>
      </c>
      <c r="I239" s="37">
        <v>28598.141699999996</v>
      </c>
      <c r="J239" s="72"/>
      <c r="K239" s="45"/>
    </row>
    <row r="240" spans="1:11" ht="24" x14ac:dyDescent="0.25">
      <c r="A240" s="115">
        <v>233</v>
      </c>
      <c r="B240" s="87" t="s">
        <v>867</v>
      </c>
      <c r="C240" s="85" t="str">
        <f>"O-16-452"</f>
        <v>O-16-452</v>
      </c>
      <c r="D240" s="86">
        <v>42381</v>
      </c>
      <c r="E240" s="86">
        <v>43132</v>
      </c>
      <c r="F240" s="84">
        <v>3940.81</v>
      </c>
      <c r="G240" s="84">
        <v>4926.01</v>
      </c>
      <c r="H240" s="86">
        <v>43100</v>
      </c>
      <c r="I240" s="37">
        <v>39912.492699999995</v>
      </c>
      <c r="J240" s="72"/>
      <c r="K240" s="45"/>
    </row>
    <row r="241" spans="1:11" ht="24" x14ac:dyDescent="0.25">
      <c r="A241" s="115">
        <v>234</v>
      </c>
      <c r="B241" s="87" t="s">
        <v>868</v>
      </c>
      <c r="C241" s="85" t="str">
        <f>"O-16-478"</f>
        <v>O-16-478</v>
      </c>
      <c r="D241" s="86">
        <v>42389</v>
      </c>
      <c r="E241" s="86">
        <v>43131</v>
      </c>
      <c r="F241" s="84">
        <v>9156.19</v>
      </c>
      <c r="G241" s="84">
        <v>11445.24</v>
      </c>
      <c r="H241" s="86">
        <v>43100</v>
      </c>
      <c r="I241" s="37">
        <v>61976.183399999994</v>
      </c>
      <c r="J241" s="72"/>
      <c r="K241" s="45"/>
    </row>
    <row r="242" spans="1:11" ht="24" x14ac:dyDescent="0.25">
      <c r="A242" s="115">
        <v>235</v>
      </c>
      <c r="B242" s="87" t="s">
        <v>869</v>
      </c>
      <c r="C242" s="85" t="str">
        <f>"O-16-486"</f>
        <v>O-16-486</v>
      </c>
      <c r="D242" s="86">
        <v>42382</v>
      </c>
      <c r="E242" s="86">
        <v>43113</v>
      </c>
      <c r="F242" s="84">
        <v>16945.72</v>
      </c>
      <c r="G242" s="84">
        <v>21182.15</v>
      </c>
      <c r="H242" s="86">
        <v>43100</v>
      </c>
      <c r="I242" s="37">
        <v>97103.487699999983</v>
      </c>
      <c r="J242" s="72"/>
      <c r="K242" s="45"/>
    </row>
    <row r="243" spans="1:11" x14ac:dyDescent="0.25">
      <c r="A243" s="115">
        <v>236</v>
      </c>
      <c r="B243" s="87" t="s">
        <v>495</v>
      </c>
      <c r="C243" s="85" t="str">
        <f>"O-16-383"</f>
        <v>O-16-383</v>
      </c>
      <c r="D243" s="86">
        <v>42380</v>
      </c>
      <c r="E243" s="86">
        <v>43131</v>
      </c>
      <c r="F243" s="84">
        <v>870546.18</v>
      </c>
      <c r="G243" s="84">
        <v>1088182.73</v>
      </c>
      <c r="H243" s="86">
        <v>43100</v>
      </c>
      <c r="I243" s="37">
        <v>1040210.3694999999</v>
      </c>
      <c r="J243" s="72"/>
      <c r="K243" s="45"/>
    </row>
    <row r="244" spans="1:11" ht="24" x14ac:dyDescent="0.25">
      <c r="A244" s="115">
        <v>237</v>
      </c>
      <c r="B244" s="87" t="s">
        <v>870</v>
      </c>
      <c r="C244" s="85" t="str">
        <f>"O-16-577"</f>
        <v>O-16-577</v>
      </c>
      <c r="D244" s="86">
        <v>42388</v>
      </c>
      <c r="E244" s="86">
        <v>43132</v>
      </c>
      <c r="F244" s="84">
        <v>60493.4</v>
      </c>
      <c r="G244" s="84">
        <v>75616.75</v>
      </c>
      <c r="H244" s="86">
        <v>43008</v>
      </c>
      <c r="I244" s="37">
        <v>138585.47129999998</v>
      </c>
      <c r="J244" s="72"/>
      <c r="K244" s="45"/>
    </row>
    <row r="245" spans="1:11" ht="24" x14ac:dyDescent="0.25">
      <c r="A245" s="115">
        <v>238</v>
      </c>
      <c r="B245" s="87" t="s">
        <v>871</v>
      </c>
      <c r="C245" s="85" t="str">
        <f>"O-16-542"</f>
        <v>O-16-542</v>
      </c>
      <c r="D245" s="86">
        <v>42390</v>
      </c>
      <c r="E245" s="86">
        <v>43132</v>
      </c>
      <c r="F245" s="84">
        <v>8087.82</v>
      </c>
      <c r="G245" s="84">
        <v>10109.780000000001</v>
      </c>
      <c r="H245" s="86">
        <v>43100</v>
      </c>
      <c r="I245" s="37">
        <v>20550.7111</v>
      </c>
      <c r="J245" s="72"/>
      <c r="K245" s="45"/>
    </row>
    <row r="246" spans="1:11" ht="24" x14ac:dyDescent="0.25">
      <c r="A246" s="115">
        <v>239</v>
      </c>
      <c r="B246" s="87" t="s">
        <v>475</v>
      </c>
      <c r="C246" s="85" t="str">
        <f>"0-16-416"</f>
        <v>0-16-416</v>
      </c>
      <c r="D246" s="86">
        <v>42401</v>
      </c>
      <c r="E246" s="86">
        <v>43132</v>
      </c>
      <c r="F246" s="84">
        <v>46995.5</v>
      </c>
      <c r="G246" s="84">
        <v>58744.38</v>
      </c>
      <c r="H246" s="86">
        <v>43100</v>
      </c>
      <c r="I246" s="37">
        <v>43330.132499999992</v>
      </c>
      <c r="J246" s="72"/>
      <c r="K246" s="45"/>
    </row>
    <row r="247" spans="1:11" ht="36" x14ac:dyDescent="0.25">
      <c r="A247" s="115">
        <v>240</v>
      </c>
      <c r="B247" s="87" t="s">
        <v>584</v>
      </c>
      <c r="C247" s="85" t="str">
        <f>"OPSKRBA ELEKTR ENERGIJOM"</f>
        <v>OPSKRBA ELEKTR ENERGIJOM</v>
      </c>
      <c r="D247" s="86">
        <v>42381</v>
      </c>
      <c r="E247" s="86">
        <v>43131</v>
      </c>
      <c r="F247" s="84">
        <v>6543.12</v>
      </c>
      <c r="G247" s="84">
        <v>8178.9</v>
      </c>
      <c r="H247" s="86">
        <v>43100</v>
      </c>
      <c r="I247" s="37">
        <v>55427.5622</v>
      </c>
      <c r="J247" s="72"/>
      <c r="K247" s="45"/>
    </row>
    <row r="248" spans="1:11" ht="24" x14ac:dyDescent="0.25">
      <c r="A248" s="115">
        <v>241</v>
      </c>
      <c r="B248" s="87" t="s">
        <v>656</v>
      </c>
      <c r="C248" s="85" t="str">
        <f>"0-16-787"</f>
        <v>0-16-787</v>
      </c>
      <c r="D248" s="86">
        <v>42387</v>
      </c>
      <c r="E248" s="86">
        <v>43131</v>
      </c>
      <c r="F248" s="84">
        <v>11213.35</v>
      </c>
      <c r="G248" s="84">
        <v>14016.69</v>
      </c>
      <c r="H248" s="86">
        <v>43100</v>
      </c>
      <c r="I248" s="37">
        <v>16899.082200000001</v>
      </c>
      <c r="J248" s="72"/>
      <c r="K248" s="45"/>
    </row>
    <row r="249" spans="1:11" x14ac:dyDescent="0.25">
      <c r="A249" s="115">
        <v>242</v>
      </c>
      <c r="B249" s="87" t="s">
        <v>556</v>
      </c>
      <c r="C249" s="85" t="str">
        <f>"O-16-360"</f>
        <v>O-16-360</v>
      </c>
      <c r="D249" s="86">
        <v>42954</v>
      </c>
      <c r="E249" s="86">
        <v>43112</v>
      </c>
      <c r="F249" s="84">
        <v>2568.91</v>
      </c>
      <c r="G249" s="84">
        <v>3211.14</v>
      </c>
      <c r="H249" s="86">
        <v>43100</v>
      </c>
      <c r="I249" s="37">
        <v>29968.729999999996</v>
      </c>
      <c r="J249" s="72"/>
      <c r="K249" s="45"/>
    </row>
    <row r="250" spans="1:11" x14ac:dyDescent="0.25">
      <c r="A250" s="115">
        <v>243</v>
      </c>
      <c r="B250" s="87" t="s">
        <v>872</v>
      </c>
      <c r="C250" s="85" t="str">
        <f>"O-16-294"</f>
        <v>O-16-294</v>
      </c>
      <c r="D250" s="86">
        <v>42401</v>
      </c>
      <c r="E250" s="86">
        <v>43132</v>
      </c>
      <c r="F250" s="84">
        <v>173128.3</v>
      </c>
      <c r="G250" s="84">
        <v>216410.38</v>
      </c>
      <c r="H250" s="86">
        <v>43100</v>
      </c>
      <c r="I250" s="37">
        <v>417121.74769999995</v>
      </c>
      <c r="J250" s="72"/>
      <c r="K250" s="45"/>
    </row>
    <row r="251" spans="1:11" ht="24" x14ac:dyDescent="0.25">
      <c r="A251" s="115">
        <v>244</v>
      </c>
      <c r="B251" s="87" t="s">
        <v>873</v>
      </c>
      <c r="C251" s="85" t="str">
        <f>"O-16-549"</f>
        <v>O-16-549</v>
      </c>
      <c r="D251" s="86">
        <v>42380</v>
      </c>
      <c r="E251" s="86">
        <v>43131</v>
      </c>
      <c r="F251" s="84">
        <v>160718.07999999999</v>
      </c>
      <c r="G251" s="84">
        <v>200897.6</v>
      </c>
      <c r="H251" s="86">
        <v>43100</v>
      </c>
      <c r="I251" s="37">
        <v>389759.261</v>
      </c>
      <c r="J251" s="72"/>
      <c r="K251" s="45"/>
    </row>
    <row r="252" spans="1:11" ht="24" x14ac:dyDescent="0.25">
      <c r="A252" s="115">
        <v>245</v>
      </c>
      <c r="B252" s="87" t="s">
        <v>874</v>
      </c>
      <c r="C252" s="85" t="str">
        <f>"O-16-611"</f>
        <v>O-16-611</v>
      </c>
      <c r="D252" s="86">
        <v>42381</v>
      </c>
      <c r="E252" s="86">
        <v>43132</v>
      </c>
      <c r="F252" s="84">
        <v>46049</v>
      </c>
      <c r="G252" s="84">
        <v>57561.25</v>
      </c>
      <c r="H252" s="86">
        <v>43100</v>
      </c>
      <c r="I252" s="37">
        <v>36717.089999999997</v>
      </c>
      <c r="J252" s="72"/>
      <c r="K252" s="45"/>
    </row>
    <row r="253" spans="1:11" ht="24" x14ac:dyDescent="0.25">
      <c r="A253" s="115">
        <v>246</v>
      </c>
      <c r="B253" s="87" t="s">
        <v>637</v>
      </c>
      <c r="C253" s="85" t="str">
        <f>"O-16-794"</f>
        <v>O-16-794</v>
      </c>
      <c r="D253" s="86">
        <v>42395</v>
      </c>
      <c r="E253" s="86">
        <v>43125</v>
      </c>
      <c r="F253" s="84">
        <v>17387.28</v>
      </c>
      <c r="G253" s="84">
        <v>21734.1</v>
      </c>
      <c r="H253" s="86">
        <v>43100</v>
      </c>
      <c r="I253" s="37">
        <v>91563.719199999992</v>
      </c>
      <c r="J253" s="72"/>
      <c r="K253" s="45"/>
    </row>
    <row r="254" spans="1:11" ht="24" x14ac:dyDescent="0.25">
      <c r="A254" s="115">
        <v>247</v>
      </c>
      <c r="B254" s="87" t="s">
        <v>875</v>
      </c>
      <c r="C254" s="85" t="str">
        <f>"O-16-484"</f>
        <v>O-16-484</v>
      </c>
      <c r="D254" s="86">
        <v>42391</v>
      </c>
      <c r="E254" s="86">
        <v>43122</v>
      </c>
      <c r="F254" s="84">
        <v>13147.93</v>
      </c>
      <c r="G254" s="84">
        <v>16434.91</v>
      </c>
      <c r="H254" s="86">
        <v>43008</v>
      </c>
      <c r="I254" s="37">
        <v>3093.1715999999997</v>
      </c>
      <c r="J254" s="72"/>
      <c r="K254" s="45"/>
    </row>
    <row r="255" spans="1:11" x14ac:dyDescent="0.25">
      <c r="A255" s="115">
        <v>248</v>
      </c>
      <c r="B255" s="87" t="s">
        <v>876</v>
      </c>
      <c r="C255" s="85" t="str">
        <f>"O-16-439"</f>
        <v>O-16-439</v>
      </c>
      <c r="D255" s="86">
        <v>42390</v>
      </c>
      <c r="E255" s="86">
        <v>43120</v>
      </c>
      <c r="F255" s="84">
        <v>10041.41</v>
      </c>
      <c r="G255" s="84">
        <v>12551.76</v>
      </c>
      <c r="H255" s="86">
        <v>43100</v>
      </c>
      <c r="I255" s="37">
        <v>33200.676899999999</v>
      </c>
      <c r="J255" s="72"/>
      <c r="K255" s="45"/>
    </row>
    <row r="256" spans="1:11" x14ac:dyDescent="0.25">
      <c r="A256" s="115">
        <v>249</v>
      </c>
      <c r="B256" s="87" t="s">
        <v>639</v>
      </c>
      <c r="C256" s="85" t="str">
        <f>"URZ-16-3"</f>
        <v>URZ-16-3</v>
      </c>
      <c r="D256" s="86">
        <v>42389</v>
      </c>
      <c r="E256" s="86">
        <v>43132</v>
      </c>
      <c r="F256" s="84">
        <v>10170.09</v>
      </c>
      <c r="G256" s="84">
        <v>12712.61</v>
      </c>
      <c r="H256" s="86">
        <v>43100</v>
      </c>
      <c r="I256" s="37">
        <v>27584.881999999998</v>
      </c>
      <c r="J256" s="72"/>
      <c r="K256" s="45"/>
    </row>
    <row r="257" spans="1:11" ht="36" x14ac:dyDescent="0.25">
      <c r="A257" s="115">
        <v>250</v>
      </c>
      <c r="B257" s="87" t="s">
        <v>485</v>
      </c>
      <c r="C257" s="85" t="str">
        <f>"KLASA: 406-01/16-01/02"</f>
        <v>KLASA: 406-01/16-01/02</v>
      </c>
      <c r="D257" s="86">
        <v>42399</v>
      </c>
      <c r="E257" s="86">
        <v>43120</v>
      </c>
      <c r="F257" s="84">
        <v>47109.29</v>
      </c>
      <c r="G257" s="84">
        <v>58886.61</v>
      </c>
      <c r="H257" s="86">
        <v>43100</v>
      </c>
      <c r="I257" s="37">
        <v>125345.29519999998</v>
      </c>
      <c r="J257" s="72"/>
      <c r="K257" s="45"/>
    </row>
    <row r="258" spans="1:11" ht="24" x14ac:dyDescent="0.25">
      <c r="A258" s="115">
        <v>251</v>
      </c>
      <c r="B258" s="87" t="s">
        <v>567</v>
      </c>
      <c r="C258" s="85" t="str">
        <f>"O-16-285"</f>
        <v>O-16-285</v>
      </c>
      <c r="D258" s="86">
        <v>42384</v>
      </c>
      <c r="E258" s="86">
        <v>43115</v>
      </c>
      <c r="F258" s="84">
        <v>13606</v>
      </c>
      <c r="G258" s="84">
        <v>17007.5</v>
      </c>
      <c r="H258" s="86">
        <v>43100</v>
      </c>
      <c r="I258" s="37">
        <v>38161790.762499996</v>
      </c>
      <c r="J258" s="72"/>
      <c r="K258" s="45"/>
    </row>
    <row r="259" spans="1:11" ht="24" x14ac:dyDescent="0.25">
      <c r="A259" s="115">
        <v>252</v>
      </c>
      <c r="B259" s="87" t="s">
        <v>877</v>
      </c>
      <c r="C259" s="85" t="str">
        <f>"O-16-363"</f>
        <v>O-16-363</v>
      </c>
      <c r="D259" s="86">
        <v>42384</v>
      </c>
      <c r="E259" s="86">
        <v>43115</v>
      </c>
      <c r="F259" s="84">
        <v>1998337</v>
      </c>
      <c r="G259" s="84">
        <v>2497921.25</v>
      </c>
      <c r="H259" s="86">
        <v>43008</v>
      </c>
      <c r="I259" s="37">
        <v>57078.910299999989</v>
      </c>
      <c r="J259" s="72"/>
      <c r="K259" s="45"/>
    </row>
    <row r="260" spans="1:11" x14ac:dyDescent="0.25">
      <c r="A260" s="115">
        <v>253</v>
      </c>
      <c r="B260" s="87" t="s">
        <v>578</v>
      </c>
      <c r="C260" s="85" t="str">
        <f>"O-16-633"</f>
        <v>O-16-633</v>
      </c>
      <c r="D260" s="86">
        <v>42382</v>
      </c>
      <c r="E260" s="86">
        <v>43113</v>
      </c>
      <c r="F260" s="84">
        <v>9746.99</v>
      </c>
      <c r="G260" s="88"/>
      <c r="H260" s="86">
        <v>43100</v>
      </c>
      <c r="I260" s="37">
        <v>37790.815999999992</v>
      </c>
      <c r="J260" s="72"/>
      <c r="K260" s="45"/>
    </row>
    <row r="261" spans="1:11" ht="24" x14ac:dyDescent="0.25">
      <c r="A261" s="115">
        <v>254</v>
      </c>
      <c r="B261" s="87" t="s">
        <v>878</v>
      </c>
      <c r="C261" s="85" t="str">
        <f>"KLASA:030-08/16-01/3"</f>
        <v>KLASA:030-08/16-01/3</v>
      </c>
      <c r="D261" s="86">
        <v>42381</v>
      </c>
      <c r="E261" s="86">
        <v>43112</v>
      </c>
      <c r="F261" s="84">
        <v>7500</v>
      </c>
      <c r="G261" s="84">
        <v>9375</v>
      </c>
      <c r="H261" s="86">
        <v>43100</v>
      </c>
      <c r="I261" s="37">
        <v>17636.938299999998</v>
      </c>
      <c r="J261" s="72"/>
      <c r="K261" s="45"/>
    </row>
    <row r="262" spans="1:11" ht="24" x14ac:dyDescent="0.25">
      <c r="A262" s="115">
        <v>255</v>
      </c>
      <c r="B262" s="87" t="s">
        <v>879</v>
      </c>
      <c r="C262" s="85" t="str">
        <f>"O-16-442"</f>
        <v>O-16-442</v>
      </c>
      <c r="D262" s="86">
        <v>42380</v>
      </c>
      <c r="E262" s="86">
        <v>43111</v>
      </c>
      <c r="F262" s="84">
        <v>10833.96</v>
      </c>
      <c r="G262" s="84">
        <v>13542.45</v>
      </c>
      <c r="H262" s="86">
        <v>43100</v>
      </c>
      <c r="I262" s="37">
        <v>26415.772699999998</v>
      </c>
      <c r="J262" s="72"/>
      <c r="K262" s="45"/>
    </row>
    <row r="263" spans="1:11" ht="24" x14ac:dyDescent="0.25">
      <c r="A263" s="115">
        <v>256</v>
      </c>
      <c r="B263" s="87" t="s">
        <v>880</v>
      </c>
      <c r="C263" s="85" t="str">
        <f>"O-16-352"</f>
        <v>O-16-352</v>
      </c>
      <c r="D263" s="86">
        <v>42380</v>
      </c>
      <c r="E263" s="86">
        <v>43111</v>
      </c>
      <c r="F263" s="84">
        <v>19882</v>
      </c>
      <c r="G263" s="84">
        <v>24852.5</v>
      </c>
      <c r="H263" s="86">
        <v>43100</v>
      </c>
      <c r="I263" s="37">
        <v>16262.1351</v>
      </c>
      <c r="J263" s="72"/>
      <c r="K263" s="45"/>
    </row>
    <row r="264" spans="1:11" ht="24.75" customHeight="1" x14ac:dyDescent="0.25">
      <c r="A264" s="115">
        <v>257</v>
      </c>
      <c r="B264" s="125" t="s">
        <v>536</v>
      </c>
      <c r="C264" s="126" t="str">
        <f>"U-0147-2016-11"</f>
        <v>U-0147-2016-11</v>
      </c>
      <c r="D264" s="124">
        <v>42376</v>
      </c>
      <c r="E264" s="124">
        <v>43076</v>
      </c>
      <c r="F264" s="123">
        <v>124035</v>
      </c>
      <c r="G264" s="123">
        <v>155043.75</v>
      </c>
      <c r="H264" s="124">
        <v>43100</v>
      </c>
      <c r="I264" s="37">
        <v>185070.27</v>
      </c>
      <c r="J264" s="72"/>
      <c r="K264" s="45"/>
    </row>
    <row r="265" spans="1:11" ht="24" x14ac:dyDescent="0.25">
      <c r="A265" s="115">
        <v>258</v>
      </c>
      <c r="B265" s="87" t="s">
        <v>881</v>
      </c>
      <c r="C265" s="85" t="str">
        <f>"01-25/1-16"</f>
        <v>01-25/1-16</v>
      </c>
      <c r="D265" s="86">
        <v>42377</v>
      </c>
      <c r="E265" s="86">
        <v>43075</v>
      </c>
      <c r="F265" s="84">
        <v>173279.72</v>
      </c>
      <c r="G265" s="84">
        <v>216599.65</v>
      </c>
      <c r="H265" s="86">
        <v>43100</v>
      </c>
      <c r="I265" s="37">
        <v>456676.23379999999</v>
      </c>
      <c r="J265" s="72"/>
      <c r="K265" s="45"/>
    </row>
    <row r="266" spans="1:11" x14ac:dyDescent="0.25">
      <c r="A266" s="115">
        <v>259</v>
      </c>
      <c r="B266" s="87" t="s">
        <v>882</v>
      </c>
      <c r="C266" s="85" t="str">
        <f>"SU-183/15"</f>
        <v>SU-183/15</v>
      </c>
      <c r="D266" s="86">
        <v>42354</v>
      </c>
      <c r="E266" s="86">
        <v>43100</v>
      </c>
      <c r="F266" s="84">
        <v>115907.54</v>
      </c>
      <c r="G266" s="84">
        <v>144884.43</v>
      </c>
      <c r="H266" s="86">
        <v>43100</v>
      </c>
      <c r="I266" s="37">
        <v>147191.17839999998</v>
      </c>
      <c r="J266" s="72"/>
      <c r="K266" s="45"/>
    </row>
    <row r="267" spans="1:11" x14ac:dyDescent="0.25">
      <c r="A267" s="115">
        <v>260</v>
      </c>
      <c r="B267" s="87" t="s">
        <v>883</v>
      </c>
      <c r="C267" s="85" t="str">
        <f>"O-16-616"</f>
        <v>O-16-616</v>
      </c>
      <c r="D267" s="86">
        <v>42921</v>
      </c>
      <c r="E267" s="86">
        <v>43100</v>
      </c>
      <c r="F267" s="84">
        <v>7572.95</v>
      </c>
      <c r="G267" s="84">
        <v>9466.19</v>
      </c>
      <c r="H267" s="86">
        <v>43100</v>
      </c>
      <c r="I267" s="37">
        <v>20583.933099999998</v>
      </c>
      <c r="J267" s="72"/>
      <c r="K267" s="45"/>
    </row>
    <row r="268" spans="1:11" x14ac:dyDescent="0.25">
      <c r="A268" s="115">
        <v>261</v>
      </c>
      <c r="B268" s="87" t="s">
        <v>697</v>
      </c>
      <c r="C268" s="85" t="str">
        <f>"O-16-342"</f>
        <v>O-16-342</v>
      </c>
      <c r="D268" s="86">
        <v>42356</v>
      </c>
      <c r="E268" s="86">
        <v>43100</v>
      </c>
      <c r="F268" s="84">
        <v>57801.32</v>
      </c>
      <c r="G268" s="84">
        <v>72251.649999999994</v>
      </c>
      <c r="H268" s="86">
        <v>43100</v>
      </c>
      <c r="I268" s="37">
        <v>281855.62880000001</v>
      </c>
      <c r="J268" s="72"/>
      <c r="K268" s="45"/>
    </row>
    <row r="269" spans="1:11" x14ac:dyDescent="0.25">
      <c r="A269" s="115">
        <v>262</v>
      </c>
      <c r="B269" s="87" t="s">
        <v>650</v>
      </c>
      <c r="C269" s="85" t="str">
        <f>"O-16-346"</f>
        <v>O-16-346</v>
      </c>
      <c r="D269" s="86">
        <v>42353</v>
      </c>
      <c r="E269" s="86">
        <v>43465</v>
      </c>
      <c r="F269" s="84">
        <v>0</v>
      </c>
      <c r="G269" s="84">
        <v>0</v>
      </c>
      <c r="H269" s="86">
        <v>43100</v>
      </c>
      <c r="I269" s="37">
        <v>175252.57009999998</v>
      </c>
      <c r="J269" s="72"/>
      <c r="K269" s="45"/>
    </row>
    <row r="270" spans="1:11" x14ac:dyDescent="0.25">
      <c r="A270" s="115">
        <v>263</v>
      </c>
      <c r="B270" s="87" t="s">
        <v>529</v>
      </c>
      <c r="C270" s="85" t="str">
        <f>"SU-1415/2015"</f>
        <v>SU-1415/2015</v>
      </c>
      <c r="D270" s="86">
        <v>42354</v>
      </c>
      <c r="E270" s="86">
        <v>43101</v>
      </c>
      <c r="F270" s="84">
        <v>198667.22</v>
      </c>
      <c r="G270" s="84">
        <v>248334.03</v>
      </c>
      <c r="H270" s="86">
        <v>43100</v>
      </c>
      <c r="I270" s="37">
        <v>365375.27349999995</v>
      </c>
      <c r="J270" s="72"/>
      <c r="K270" s="45"/>
    </row>
    <row r="271" spans="1:11" ht="24" x14ac:dyDescent="0.25">
      <c r="A271" s="115">
        <v>264</v>
      </c>
      <c r="B271" s="87" t="s">
        <v>884</v>
      </c>
      <c r="C271" s="85" t="str">
        <f>"O-16-563"</f>
        <v>O-16-563</v>
      </c>
      <c r="D271" s="86">
        <v>42360</v>
      </c>
      <c r="E271" s="86">
        <v>43100</v>
      </c>
      <c r="F271" s="84">
        <v>67179.73</v>
      </c>
      <c r="G271" s="84">
        <v>83974.66</v>
      </c>
      <c r="H271" s="86">
        <v>43100</v>
      </c>
      <c r="I271" s="37">
        <v>426117.30479999998</v>
      </c>
      <c r="J271" s="72"/>
      <c r="K271" s="45"/>
    </row>
    <row r="272" spans="1:11" ht="24" x14ac:dyDescent="0.25">
      <c r="A272" s="115">
        <v>265</v>
      </c>
      <c r="B272" s="87" t="s">
        <v>554</v>
      </c>
      <c r="C272" s="85" t="str">
        <f>"Z-VI-4-7131/15"</f>
        <v>Z-VI-4-7131/15</v>
      </c>
      <c r="D272" s="86">
        <v>42353</v>
      </c>
      <c r="E272" s="86">
        <v>43100</v>
      </c>
      <c r="F272" s="84">
        <v>450000</v>
      </c>
      <c r="G272" s="84">
        <v>562500</v>
      </c>
      <c r="H272" s="86">
        <v>43008</v>
      </c>
      <c r="I272" s="37">
        <v>921549.27289999987</v>
      </c>
      <c r="J272" s="72"/>
      <c r="K272" s="45"/>
    </row>
    <row r="273" spans="1:11" x14ac:dyDescent="0.25">
      <c r="A273" s="115">
        <v>266</v>
      </c>
      <c r="B273" s="87" t="s">
        <v>561</v>
      </c>
      <c r="C273" s="85" t="str">
        <f>"O-16-591"</f>
        <v>O-16-591</v>
      </c>
      <c r="D273" s="86">
        <v>42367</v>
      </c>
      <c r="E273" s="86">
        <v>43100</v>
      </c>
      <c r="F273" s="84">
        <v>362597.1</v>
      </c>
      <c r="G273" s="84">
        <v>453246.38</v>
      </c>
      <c r="H273" s="86">
        <v>42916</v>
      </c>
      <c r="I273" s="37">
        <v>533270.74129999999</v>
      </c>
      <c r="J273" s="72"/>
      <c r="K273" s="45"/>
    </row>
    <row r="274" spans="1:11" x14ac:dyDescent="0.25">
      <c r="A274" s="115">
        <v>267</v>
      </c>
      <c r="B274" s="87" t="s">
        <v>885</v>
      </c>
      <c r="C274" s="85" t="str">
        <f>"O-16-511"</f>
        <v>O-16-511</v>
      </c>
      <c r="D274" s="86">
        <v>42356</v>
      </c>
      <c r="E274" s="86">
        <v>43076</v>
      </c>
      <c r="F274" s="84">
        <v>107209.85</v>
      </c>
      <c r="G274" s="84">
        <v>121147.13</v>
      </c>
      <c r="H274" s="86">
        <v>43100</v>
      </c>
      <c r="I274" s="37">
        <v>701936.63179999997</v>
      </c>
      <c r="J274" s="72"/>
      <c r="K274" s="45"/>
    </row>
    <row r="275" spans="1:11" x14ac:dyDescent="0.25">
      <c r="A275" s="115">
        <v>268</v>
      </c>
      <c r="B275" s="87" t="s">
        <v>549</v>
      </c>
      <c r="C275" s="85" t="str">
        <f>"O-16-411"</f>
        <v>O-16-411</v>
      </c>
      <c r="D275" s="86">
        <v>42359</v>
      </c>
      <c r="E275" s="86">
        <v>43101</v>
      </c>
      <c r="F275" s="84">
        <v>200000</v>
      </c>
      <c r="G275" s="84">
        <v>250000</v>
      </c>
      <c r="H275" s="86">
        <v>43100</v>
      </c>
      <c r="I275" s="37">
        <v>25870.446</v>
      </c>
      <c r="J275" s="72"/>
      <c r="K275" s="45"/>
    </row>
    <row r="276" spans="1:11" ht="24" x14ac:dyDescent="0.25">
      <c r="A276" s="115">
        <v>269</v>
      </c>
      <c r="B276" s="87" t="s">
        <v>535</v>
      </c>
      <c r="C276" s="85" t="str">
        <f>"O-16-451"</f>
        <v>O-16-451</v>
      </c>
      <c r="D276" s="86">
        <v>42356</v>
      </c>
      <c r="E276" s="86">
        <v>43100</v>
      </c>
      <c r="F276" s="84">
        <v>112534.49</v>
      </c>
      <c r="G276" s="84">
        <v>140668.10999999999</v>
      </c>
      <c r="H276" s="86">
        <v>43008</v>
      </c>
      <c r="I276" s="37">
        <v>100630.6697</v>
      </c>
      <c r="J276" s="72"/>
      <c r="K276" s="45"/>
    </row>
    <row r="277" spans="1:11" ht="24" x14ac:dyDescent="0.25">
      <c r="A277" s="115">
        <v>270</v>
      </c>
      <c r="B277" s="87" t="s">
        <v>279</v>
      </c>
      <c r="C277" s="85" t="str">
        <f>"11-2015-1"</f>
        <v>11-2015-1</v>
      </c>
      <c r="D277" s="86">
        <v>42370</v>
      </c>
      <c r="E277" s="86">
        <v>43100</v>
      </c>
      <c r="F277" s="84">
        <v>47000</v>
      </c>
      <c r="G277" s="84">
        <v>58750</v>
      </c>
      <c r="H277" s="86">
        <v>43100</v>
      </c>
      <c r="I277" s="37">
        <v>50639.096799999999</v>
      </c>
      <c r="J277" s="72"/>
      <c r="K277" s="45"/>
    </row>
    <row r="278" spans="1:11" ht="24" x14ac:dyDescent="0.25">
      <c r="A278" s="115">
        <v>271</v>
      </c>
      <c r="B278" s="87" t="s">
        <v>886</v>
      </c>
      <c r="C278" s="85" t="str">
        <f>"O-16-604 - DROGE"</f>
        <v>O-16-604 - DROGE</v>
      </c>
      <c r="D278" s="86">
        <v>42370</v>
      </c>
      <c r="E278" s="86">
        <v>43100</v>
      </c>
      <c r="F278" s="84">
        <v>0</v>
      </c>
      <c r="G278" s="84">
        <v>0</v>
      </c>
      <c r="H278" s="86">
        <v>43008</v>
      </c>
      <c r="I278" s="37">
        <v>7116.3105999999989</v>
      </c>
      <c r="J278" s="72"/>
      <c r="K278" s="45"/>
    </row>
    <row r="279" spans="1:11" ht="36" x14ac:dyDescent="0.25">
      <c r="A279" s="115">
        <v>272</v>
      </c>
      <c r="B279" s="87" t="s">
        <v>208</v>
      </c>
      <c r="C279" s="85" t="str">
        <f>"O-16-604"</f>
        <v>O-16-604</v>
      </c>
      <c r="D279" s="86">
        <v>42370</v>
      </c>
      <c r="E279" s="86">
        <v>43100</v>
      </c>
      <c r="F279" s="84">
        <v>0</v>
      </c>
      <c r="G279" s="84">
        <v>0</v>
      </c>
      <c r="H279" s="164"/>
      <c r="I279" s="166">
        <v>0</v>
      </c>
      <c r="J279" s="72"/>
      <c r="K279" s="45"/>
    </row>
    <row r="280" spans="1:11" ht="24" x14ac:dyDescent="0.25">
      <c r="A280" s="115">
        <v>273</v>
      </c>
      <c r="B280" s="87" t="s">
        <v>661</v>
      </c>
      <c r="C280" s="85" t="str">
        <f>"11/2015 - OKSZG"</f>
        <v>11/2015 - OKSZG</v>
      </c>
      <c r="D280" s="86">
        <v>42359</v>
      </c>
      <c r="E280" s="86">
        <v>43100</v>
      </c>
      <c r="F280" s="84">
        <v>63614.52</v>
      </c>
      <c r="G280" s="84">
        <v>79518.149999999994</v>
      </c>
      <c r="H280" s="86">
        <v>43100</v>
      </c>
      <c r="I280" s="37">
        <v>241122.91429999997</v>
      </c>
      <c r="J280" s="72"/>
      <c r="K280" s="45"/>
    </row>
    <row r="281" spans="1:11" ht="36" x14ac:dyDescent="0.25">
      <c r="A281" s="115">
        <v>274</v>
      </c>
      <c r="B281" s="87" t="s">
        <v>887</v>
      </c>
      <c r="C281" s="85" t="str">
        <f>"O-16-539"</f>
        <v>O-16-539</v>
      </c>
      <c r="D281" s="86">
        <v>42353</v>
      </c>
      <c r="E281" s="86">
        <v>43101</v>
      </c>
      <c r="F281" s="84">
        <v>21449.68</v>
      </c>
      <c r="G281" s="84">
        <v>26812.1</v>
      </c>
      <c r="H281" s="86">
        <v>43100</v>
      </c>
      <c r="I281" s="37">
        <v>81511.702499999999</v>
      </c>
      <c r="J281" s="72"/>
      <c r="K281" s="45"/>
    </row>
    <row r="282" spans="1:11" ht="24" x14ac:dyDescent="0.25">
      <c r="A282" s="115">
        <v>275</v>
      </c>
      <c r="B282" s="87" t="s">
        <v>888</v>
      </c>
      <c r="C282" s="85" t="str">
        <f>"O-16-298"</f>
        <v>O-16-298</v>
      </c>
      <c r="D282" s="86">
        <v>42359</v>
      </c>
      <c r="E282" s="86">
        <v>43100</v>
      </c>
      <c r="F282" s="84">
        <v>130850.59</v>
      </c>
      <c r="G282" s="84">
        <v>163563.24</v>
      </c>
      <c r="H282" s="86">
        <v>43100</v>
      </c>
      <c r="I282" s="37">
        <v>270579.94639999996</v>
      </c>
      <c r="J282" s="72"/>
      <c r="K282" s="45"/>
    </row>
    <row r="283" spans="1:11" ht="24" x14ac:dyDescent="0.25">
      <c r="A283" s="115">
        <v>276</v>
      </c>
      <c r="B283" s="87" t="s">
        <v>889</v>
      </c>
      <c r="C283" s="85" t="str">
        <f>"VG 11/2015"</f>
        <v>VG 11/2015</v>
      </c>
      <c r="D283" s="86">
        <v>42345</v>
      </c>
      <c r="E283" s="86">
        <v>43100</v>
      </c>
      <c r="F283" s="84">
        <v>8406.4599999999991</v>
      </c>
      <c r="G283" s="84">
        <v>10508.08</v>
      </c>
      <c r="H283" s="86">
        <v>43100</v>
      </c>
      <c r="I283" s="37">
        <v>30640.820099999997</v>
      </c>
      <c r="J283" s="72"/>
      <c r="K283" s="45"/>
    </row>
    <row r="284" spans="1:11" ht="36" x14ac:dyDescent="0.25">
      <c r="A284" s="115">
        <v>277</v>
      </c>
      <c r="B284" s="87" t="s">
        <v>518</v>
      </c>
      <c r="C284" s="85" t="str">
        <f>"STRUJA-2016"</f>
        <v>STRUJA-2016</v>
      </c>
      <c r="D284" s="86">
        <v>42355</v>
      </c>
      <c r="E284" s="86">
        <v>43100</v>
      </c>
      <c r="F284" s="84">
        <v>104626.79</v>
      </c>
      <c r="G284" s="84">
        <v>130783.49</v>
      </c>
      <c r="H284" s="86">
        <v>43100</v>
      </c>
      <c r="I284" s="37">
        <v>13776.225499999999</v>
      </c>
      <c r="J284" s="72"/>
      <c r="K284" s="45"/>
    </row>
    <row r="285" spans="1:11" x14ac:dyDescent="0.25">
      <c r="A285" s="115">
        <v>278</v>
      </c>
      <c r="B285" s="87" t="s">
        <v>674</v>
      </c>
      <c r="C285" s="85" t="str">
        <f>"O-16-444"</f>
        <v>O-16-444</v>
      </c>
      <c r="D285" s="86">
        <v>42352</v>
      </c>
      <c r="E285" s="86">
        <v>43100</v>
      </c>
      <c r="F285" s="84">
        <v>4822.54</v>
      </c>
      <c r="G285" s="84">
        <v>6028.18</v>
      </c>
      <c r="H285" s="86">
        <v>43100</v>
      </c>
      <c r="I285" s="37">
        <v>331843.48399999994</v>
      </c>
      <c r="J285" s="72"/>
      <c r="K285" s="45"/>
    </row>
    <row r="286" spans="1:11" ht="24" x14ac:dyDescent="0.25">
      <c r="A286" s="115">
        <v>279</v>
      </c>
      <c r="B286" s="87" t="s">
        <v>563</v>
      </c>
      <c r="C286" s="85" t="str">
        <f>"02-09/15"</f>
        <v>02-09/15</v>
      </c>
      <c r="D286" s="86">
        <v>42050</v>
      </c>
      <c r="E286" s="86">
        <v>43100</v>
      </c>
      <c r="F286" s="84">
        <v>0</v>
      </c>
      <c r="G286" s="84">
        <v>0</v>
      </c>
      <c r="H286" s="86">
        <v>43100</v>
      </c>
      <c r="I286" s="37">
        <v>3153786.5966999996</v>
      </c>
      <c r="J286" s="72"/>
      <c r="K286" s="45"/>
    </row>
    <row r="287" spans="1:11" ht="24" x14ac:dyDescent="0.25">
      <c r="A287" s="115">
        <v>280</v>
      </c>
      <c r="B287" s="87" t="s">
        <v>890</v>
      </c>
      <c r="C287" s="85" t="str">
        <f>"41-SU-332/15-3"</f>
        <v>41-SU-332/15-3</v>
      </c>
      <c r="D287" s="86">
        <v>42345</v>
      </c>
      <c r="E287" s="86">
        <v>43100</v>
      </c>
      <c r="F287" s="84">
        <v>2022</v>
      </c>
      <c r="G287" s="84">
        <v>2527.5</v>
      </c>
      <c r="H287" s="86">
        <v>43100</v>
      </c>
      <c r="I287" s="37">
        <v>6769.4683999999997</v>
      </c>
      <c r="J287" s="72"/>
      <c r="K287" s="45"/>
    </row>
    <row r="288" spans="1:11" x14ac:dyDescent="0.25">
      <c r="A288" s="115">
        <v>281</v>
      </c>
      <c r="B288" s="87" t="s">
        <v>649</v>
      </c>
      <c r="C288" s="85" t="str">
        <f>"O-16-599"</f>
        <v>O-16-599</v>
      </c>
      <c r="D288" s="86">
        <v>42356</v>
      </c>
      <c r="E288" s="86">
        <v>43452</v>
      </c>
      <c r="F288" s="84">
        <v>33558.89</v>
      </c>
      <c r="G288" s="84">
        <v>33558.89</v>
      </c>
      <c r="H288" s="86">
        <v>43100</v>
      </c>
      <c r="I288" s="37">
        <v>173461.9382</v>
      </c>
      <c r="J288" s="72"/>
      <c r="K288" s="45"/>
    </row>
    <row r="289" spans="1:11" ht="24" x14ac:dyDescent="0.25">
      <c r="A289" s="115">
        <v>282</v>
      </c>
      <c r="B289" s="87" t="s">
        <v>507</v>
      </c>
      <c r="C289" s="85" t="str">
        <f>"O-16-263"</f>
        <v>O-16-263</v>
      </c>
      <c r="D289" s="86">
        <v>42355</v>
      </c>
      <c r="E289" s="86">
        <v>43101</v>
      </c>
      <c r="F289" s="84">
        <v>89900</v>
      </c>
      <c r="G289" s="84">
        <v>112375</v>
      </c>
      <c r="H289" s="86">
        <v>43100</v>
      </c>
      <c r="I289" s="37">
        <v>391387.70399999997</v>
      </c>
      <c r="J289" s="72"/>
      <c r="K289" s="45"/>
    </row>
    <row r="290" spans="1:11" ht="24" x14ac:dyDescent="0.25">
      <c r="A290" s="115">
        <v>283</v>
      </c>
      <c r="B290" s="87" t="s">
        <v>891</v>
      </c>
      <c r="C290" s="85" t="str">
        <f>"0-16-793"</f>
        <v>0-16-793</v>
      </c>
      <c r="D290" s="86">
        <v>42345</v>
      </c>
      <c r="E290" s="86">
        <v>43100</v>
      </c>
      <c r="F290" s="84">
        <v>158639170</v>
      </c>
      <c r="G290" s="84">
        <v>198298962.5</v>
      </c>
      <c r="H290" s="86">
        <v>43100</v>
      </c>
      <c r="I290" s="37">
        <v>534726.47509999992</v>
      </c>
      <c r="J290" s="72"/>
      <c r="K290" s="45"/>
    </row>
    <row r="291" spans="1:11" ht="24" x14ac:dyDescent="0.25">
      <c r="A291" s="115">
        <v>284</v>
      </c>
      <c r="B291" s="87" t="s">
        <v>646</v>
      </c>
      <c r="C291" s="85" t="str">
        <f>"602-04/15-20/138"</f>
        <v>602-04/15-20/138</v>
      </c>
      <c r="D291" s="86">
        <v>42566</v>
      </c>
      <c r="E291" s="86">
        <v>43076</v>
      </c>
      <c r="F291" s="84">
        <v>65713.820000000007</v>
      </c>
      <c r="G291" s="84">
        <v>82142.28</v>
      </c>
      <c r="H291" s="86">
        <v>43100</v>
      </c>
      <c r="I291" s="37">
        <v>227775.47859999997</v>
      </c>
      <c r="J291" s="72"/>
      <c r="K291" s="45"/>
    </row>
    <row r="292" spans="1:11" ht="24" x14ac:dyDescent="0.25">
      <c r="A292" s="115">
        <v>285</v>
      </c>
      <c r="B292" s="87" t="s">
        <v>892</v>
      </c>
      <c r="C292" s="85" t="str">
        <f>"0-16-635"</f>
        <v>0-16-635</v>
      </c>
      <c r="D292" s="86">
        <v>42359</v>
      </c>
      <c r="E292" s="86">
        <v>43101</v>
      </c>
      <c r="F292" s="84">
        <v>0</v>
      </c>
      <c r="G292" s="84">
        <v>0</v>
      </c>
      <c r="H292" s="86">
        <v>43100</v>
      </c>
      <c r="I292" s="37">
        <v>92726.828199999989</v>
      </c>
      <c r="J292" s="72"/>
      <c r="K292" s="45"/>
    </row>
    <row r="293" spans="1:11" ht="36" x14ac:dyDescent="0.25">
      <c r="A293" s="115">
        <v>286</v>
      </c>
      <c r="B293" s="87" t="s">
        <v>527</v>
      </c>
      <c r="C293" s="85" t="str">
        <f>"O-16-492"</f>
        <v>O-16-492</v>
      </c>
      <c r="D293" s="86">
        <v>42353</v>
      </c>
      <c r="E293" s="86">
        <v>43100</v>
      </c>
      <c r="F293" s="84">
        <v>923435</v>
      </c>
      <c r="G293" s="84">
        <v>1154293.75</v>
      </c>
      <c r="H293" s="86">
        <v>43100</v>
      </c>
      <c r="I293" s="37">
        <v>1083802.4246999999</v>
      </c>
      <c r="J293" s="72"/>
      <c r="K293" s="45"/>
    </row>
    <row r="294" spans="1:11" x14ac:dyDescent="0.25">
      <c r="A294" s="115">
        <v>287</v>
      </c>
      <c r="B294" s="87" t="s">
        <v>676</v>
      </c>
      <c r="C294" s="85" t="str">
        <f>"O-16-330"</f>
        <v>O-16-330</v>
      </c>
      <c r="D294" s="86">
        <v>42353</v>
      </c>
      <c r="E294" s="86">
        <v>43100</v>
      </c>
      <c r="F294" s="84">
        <v>50353.84</v>
      </c>
      <c r="G294" s="84">
        <v>62942.3</v>
      </c>
      <c r="H294" s="86">
        <v>43100</v>
      </c>
      <c r="I294" s="37">
        <v>88861.290299999993</v>
      </c>
      <c r="J294" s="72"/>
      <c r="K294" s="45"/>
    </row>
    <row r="295" spans="1:11" ht="36" x14ac:dyDescent="0.25">
      <c r="A295" s="115">
        <v>288</v>
      </c>
      <c r="B295" s="87" t="s">
        <v>192</v>
      </c>
      <c r="C295" s="85" t="str">
        <f>"510/7-C-U-0054/15-90"</f>
        <v>510/7-C-U-0054/15-90</v>
      </c>
      <c r="D295" s="86">
        <v>42360</v>
      </c>
      <c r="E295" s="86">
        <v>43100</v>
      </c>
      <c r="F295" s="84">
        <v>558615</v>
      </c>
      <c r="G295" s="84">
        <v>698268.75</v>
      </c>
      <c r="H295" s="86">
        <v>42825</v>
      </c>
      <c r="I295" s="37">
        <v>545861.22389999998</v>
      </c>
      <c r="J295" s="72"/>
      <c r="K295" s="45"/>
    </row>
    <row r="296" spans="1:11" ht="24" x14ac:dyDescent="0.25">
      <c r="A296" s="115">
        <v>289</v>
      </c>
      <c r="B296" s="87" t="s">
        <v>893</v>
      </c>
      <c r="C296" s="85" t="str">
        <f>"V-1/2016"</f>
        <v>V-1/2016</v>
      </c>
      <c r="D296" s="86">
        <v>42418</v>
      </c>
      <c r="E296" s="86">
        <v>43100</v>
      </c>
      <c r="F296" s="84">
        <v>2881010</v>
      </c>
      <c r="G296" s="84">
        <v>3601262.5</v>
      </c>
      <c r="H296" s="86">
        <v>43100</v>
      </c>
      <c r="I296" s="37">
        <v>2962632.7908999999</v>
      </c>
      <c r="J296" s="72"/>
      <c r="K296" s="45"/>
    </row>
    <row r="297" spans="1:11" ht="24" x14ac:dyDescent="0.25">
      <c r="A297" s="115">
        <v>290</v>
      </c>
      <c r="B297" s="87" t="s">
        <v>554</v>
      </c>
      <c r="C297" s="85" t="str">
        <f>"O-16-557"</f>
        <v>O-16-557</v>
      </c>
      <c r="D297" s="86">
        <v>42355</v>
      </c>
      <c r="E297" s="86">
        <v>43100</v>
      </c>
      <c r="F297" s="84">
        <v>450000</v>
      </c>
      <c r="G297" s="84">
        <v>562500</v>
      </c>
      <c r="H297" s="86">
        <v>43008</v>
      </c>
      <c r="I297" s="37">
        <v>619128.22039999987</v>
      </c>
      <c r="J297" s="72"/>
      <c r="K297" s="45"/>
    </row>
    <row r="298" spans="1:11" x14ac:dyDescent="0.25">
      <c r="A298" s="115">
        <v>291</v>
      </c>
      <c r="B298" s="87" t="s">
        <v>894</v>
      </c>
      <c r="C298" s="85" t="str">
        <f>"HEP -ZUZ"</f>
        <v>HEP -ZUZ</v>
      </c>
      <c r="D298" s="86">
        <v>42362</v>
      </c>
      <c r="E298" s="86">
        <v>43101</v>
      </c>
      <c r="F298" s="84">
        <v>268641.59999999998</v>
      </c>
      <c r="G298" s="84">
        <v>335802</v>
      </c>
      <c r="H298" s="86">
        <v>43100</v>
      </c>
      <c r="I298" s="37">
        <v>891203.04379999987</v>
      </c>
      <c r="J298" s="72"/>
      <c r="K298" s="45"/>
    </row>
    <row r="299" spans="1:11" ht="24" x14ac:dyDescent="0.25">
      <c r="A299" s="115">
        <v>292</v>
      </c>
      <c r="B299" s="87" t="s">
        <v>895</v>
      </c>
      <c r="C299" s="85" t="str">
        <f>"O-16-261"</f>
        <v>O-16-261</v>
      </c>
      <c r="D299" s="86">
        <v>42370</v>
      </c>
      <c r="E299" s="86">
        <v>43101</v>
      </c>
      <c r="F299" s="84">
        <v>25600</v>
      </c>
      <c r="G299" s="84">
        <v>32000</v>
      </c>
      <c r="H299" s="86">
        <v>43100</v>
      </c>
      <c r="I299" s="37">
        <v>53549.027599999994</v>
      </c>
      <c r="J299" s="72"/>
      <c r="K299" s="45"/>
    </row>
    <row r="300" spans="1:11" ht="24" x14ac:dyDescent="0.25">
      <c r="A300" s="115">
        <v>293</v>
      </c>
      <c r="B300" s="87" t="s">
        <v>524</v>
      </c>
      <c r="C300" s="85" t="str">
        <f>"404-01/15-01/31"</f>
        <v>404-01/15-01/31</v>
      </c>
      <c r="D300" s="86">
        <v>42360</v>
      </c>
      <c r="E300" s="86">
        <v>43100</v>
      </c>
      <c r="F300" s="84">
        <v>139187.1</v>
      </c>
      <c r="G300" s="84">
        <v>173983.88</v>
      </c>
      <c r="H300" s="86">
        <v>43100</v>
      </c>
      <c r="I300" s="37">
        <v>250480.39909999998</v>
      </c>
      <c r="J300" s="72"/>
      <c r="K300" s="45"/>
    </row>
    <row r="301" spans="1:11" ht="24" x14ac:dyDescent="0.25">
      <c r="A301" s="115">
        <v>294</v>
      </c>
      <c r="B301" s="87" t="s">
        <v>201</v>
      </c>
      <c r="C301" s="85" t="str">
        <f>"O-16-637"</f>
        <v>O-16-637</v>
      </c>
      <c r="D301" s="86">
        <v>42345</v>
      </c>
      <c r="E301" s="86">
        <v>43100</v>
      </c>
      <c r="F301" s="84">
        <v>1760000</v>
      </c>
      <c r="G301" s="84">
        <v>2200000</v>
      </c>
      <c r="H301" s="86">
        <v>43100</v>
      </c>
      <c r="I301" s="37">
        <v>778947.3973999999</v>
      </c>
      <c r="J301" s="72"/>
      <c r="K301" s="45"/>
    </row>
    <row r="302" spans="1:11" ht="24" x14ac:dyDescent="0.25">
      <c r="A302" s="115">
        <v>295</v>
      </c>
      <c r="B302" s="87" t="s">
        <v>723</v>
      </c>
      <c r="C302" s="85" t="str">
        <f>"O-16-610"</f>
        <v>O-16-610</v>
      </c>
      <c r="D302" s="86">
        <v>42359</v>
      </c>
      <c r="E302" s="86">
        <v>43100</v>
      </c>
      <c r="F302" s="84">
        <v>317517.36</v>
      </c>
      <c r="G302" s="84">
        <v>396896.7</v>
      </c>
      <c r="H302" s="86">
        <v>43100</v>
      </c>
      <c r="I302" s="37">
        <v>391692.56669999997</v>
      </c>
      <c r="J302" s="72"/>
      <c r="K302" s="45"/>
    </row>
    <row r="303" spans="1:11" ht="24" x14ac:dyDescent="0.25">
      <c r="A303" s="115">
        <v>296</v>
      </c>
      <c r="B303" s="87" t="s">
        <v>211</v>
      </c>
      <c r="C303" s="85" t="str">
        <f>"0-16-663"</f>
        <v>0-16-663</v>
      </c>
      <c r="D303" s="86">
        <v>42356</v>
      </c>
      <c r="E303" s="86">
        <v>43101</v>
      </c>
      <c r="F303" s="84">
        <v>27507.67</v>
      </c>
      <c r="G303" s="84">
        <v>34384.589999999997</v>
      </c>
      <c r="H303" s="86">
        <v>43100</v>
      </c>
      <c r="I303" s="37">
        <v>94931.413</v>
      </c>
      <c r="J303" s="72"/>
      <c r="K303" s="45"/>
    </row>
    <row r="304" spans="1:11" ht="24" x14ac:dyDescent="0.25">
      <c r="A304" s="115">
        <v>297</v>
      </c>
      <c r="B304" s="87" t="s">
        <v>896</v>
      </c>
      <c r="C304" s="85" t="str">
        <f>"420-01/15-15/6"</f>
        <v>420-01/15-15/6</v>
      </c>
      <c r="D304" s="86">
        <v>42359</v>
      </c>
      <c r="E304" s="86">
        <v>43100</v>
      </c>
      <c r="F304" s="84">
        <v>219103</v>
      </c>
      <c r="G304" s="84">
        <v>273878.75</v>
      </c>
      <c r="H304" s="86">
        <v>43100</v>
      </c>
      <c r="I304" s="37">
        <v>347195.09899999993</v>
      </c>
      <c r="J304" s="72"/>
      <c r="K304" s="45"/>
    </row>
    <row r="305" spans="1:11" x14ac:dyDescent="0.25">
      <c r="A305" s="115">
        <v>298</v>
      </c>
      <c r="B305" s="87" t="s">
        <v>897</v>
      </c>
      <c r="C305" s="85" t="str">
        <f>"O-16-434"</f>
        <v>O-16-434</v>
      </c>
      <c r="D305" s="86">
        <v>42345</v>
      </c>
      <c r="E305" s="86">
        <v>43100</v>
      </c>
      <c r="F305" s="84">
        <v>58480</v>
      </c>
      <c r="G305" s="84">
        <v>73100</v>
      </c>
      <c r="H305" s="86">
        <v>43100</v>
      </c>
      <c r="I305" s="37">
        <v>188573.92539999998</v>
      </c>
      <c r="J305" s="72"/>
      <c r="K305" s="45"/>
    </row>
    <row r="306" spans="1:11" x14ac:dyDescent="0.25">
      <c r="A306" s="115">
        <v>299</v>
      </c>
      <c r="B306" s="87" t="s">
        <v>662</v>
      </c>
      <c r="C306" s="85" t="str">
        <f>"O-16-508"</f>
        <v>O-16-508</v>
      </c>
      <c r="D306" s="86">
        <v>42355</v>
      </c>
      <c r="E306" s="86">
        <v>43100</v>
      </c>
      <c r="F306" s="84">
        <v>59140.41</v>
      </c>
      <c r="G306" s="84">
        <v>73925.509999999995</v>
      </c>
      <c r="H306" s="86">
        <v>43008</v>
      </c>
      <c r="I306" s="37">
        <v>198276.44439999998</v>
      </c>
      <c r="J306" s="72"/>
      <c r="K306" s="45"/>
    </row>
    <row r="307" spans="1:11" ht="24" x14ac:dyDescent="0.25">
      <c r="A307" s="115">
        <v>300</v>
      </c>
      <c r="B307" s="87" t="s">
        <v>196</v>
      </c>
      <c r="C307" s="85" t="str">
        <f>"MGPU 11/2015"</f>
        <v>MGPU 11/2015</v>
      </c>
      <c r="D307" s="86">
        <v>42361</v>
      </c>
      <c r="E307" s="86">
        <v>43100</v>
      </c>
      <c r="F307" s="84">
        <v>304000</v>
      </c>
      <c r="G307" s="84">
        <v>380000</v>
      </c>
      <c r="H307" s="86">
        <v>43100</v>
      </c>
      <c r="I307" s="37">
        <v>595838.93169999996</v>
      </c>
      <c r="J307" s="72"/>
      <c r="K307" s="45"/>
    </row>
    <row r="308" spans="1:11" x14ac:dyDescent="0.25">
      <c r="A308" s="115">
        <v>301</v>
      </c>
      <c r="B308" s="87" t="s">
        <v>480</v>
      </c>
      <c r="C308" s="85" t="str">
        <f>"0-16-593"</f>
        <v>0-16-593</v>
      </c>
      <c r="D308" s="86">
        <v>42657</v>
      </c>
      <c r="E308" s="86">
        <v>43101</v>
      </c>
      <c r="F308" s="84">
        <v>55106.84</v>
      </c>
      <c r="G308" s="84">
        <v>68883.55</v>
      </c>
      <c r="H308" s="86">
        <v>43008</v>
      </c>
      <c r="I308" s="37">
        <v>155733.72979999997</v>
      </c>
      <c r="J308" s="72"/>
      <c r="K308" s="45"/>
    </row>
    <row r="309" spans="1:11" ht="24" x14ac:dyDescent="0.25">
      <c r="A309" s="115">
        <v>302</v>
      </c>
      <c r="B309" s="87" t="s">
        <v>898</v>
      </c>
      <c r="C309" s="85" t="str">
        <f>"O-16-648"</f>
        <v>O-16-648</v>
      </c>
      <c r="D309" s="86">
        <v>42382</v>
      </c>
      <c r="E309" s="86">
        <v>43100</v>
      </c>
      <c r="F309" s="84">
        <v>4236.92</v>
      </c>
      <c r="G309" s="84">
        <v>5296.15</v>
      </c>
      <c r="H309" s="86">
        <v>43100</v>
      </c>
      <c r="I309" s="37">
        <v>16920.3714</v>
      </c>
      <c r="J309" s="72"/>
      <c r="K309" s="45"/>
    </row>
    <row r="310" spans="1:11" ht="36" x14ac:dyDescent="0.25">
      <c r="A310" s="115">
        <v>303</v>
      </c>
      <c r="B310" s="87" t="s">
        <v>208</v>
      </c>
      <c r="C310" s="85" t="str">
        <f>"58/UZOP/2015"</f>
        <v>58/UZOP/2015</v>
      </c>
      <c r="D310" s="86">
        <v>42359</v>
      </c>
      <c r="E310" s="86">
        <v>43100</v>
      </c>
      <c r="F310" s="84">
        <v>80562.539999999994</v>
      </c>
      <c r="G310" s="84">
        <v>100703.18</v>
      </c>
      <c r="H310" s="86">
        <v>43008</v>
      </c>
      <c r="I310" s="37">
        <v>103630.6841</v>
      </c>
      <c r="J310" s="72"/>
      <c r="K310" s="45"/>
    </row>
    <row r="311" spans="1:11" ht="24" x14ac:dyDescent="0.25">
      <c r="A311" s="115">
        <v>304</v>
      </c>
      <c r="B311" s="87" t="s">
        <v>899</v>
      </c>
      <c r="C311" s="85" t="str">
        <f>"O-16-629-ZA OBRISATI"</f>
        <v>O-16-629-ZA OBRISATI</v>
      </c>
      <c r="D311" s="86">
        <v>42727</v>
      </c>
      <c r="E311" s="86">
        <v>43100</v>
      </c>
      <c r="F311" s="84">
        <v>0</v>
      </c>
      <c r="G311" s="84">
        <v>0</v>
      </c>
      <c r="H311" s="86">
        <v>43008</v>
      </c>
      <c r="I311" s="37">
        <v>7486.5663999999988</v>
      </c>
      <c r="J311" s="72"/>
      <c r="K311" s="45"/>
    </row>
    <row r="312" spans="1:11" ht="24" x14ac:dyDescent="0.25">
      <c r="A312" s="115">
        <v>305</v>
      </c>
      <c r="B312" s="87" t="s">
        <v>899</v>
      </c>
      <c r="C312" s="85" t="str">
        <f>"O-16-629"</f>
        <v>O-16-629</v>
      </c>
      <c r="D312" s="86">
        <v>42361</v>
      </c>
      <c r="E312" s="86">
        <v>43100</v>
      </c>
      <c r="F312" s="84">
        <v>19651.46</v>
      </c>
      <c r="G312" s="84">
        <v>24564.33</v>
      </c>
      <c r="H312" s="86">
        <v>43008</v>
      </c>
      <c r="I312" s="37">
        <v>18015.251</v>
      </c>
      <c r="J312" s="72"/>
      <c r="K312" s="45"/>
    </row>
    <row r="313" spans="1:11" ht="36" x14ac:dyDescent="0.25">
      <c r="A313" s="115">
        <v>306</v>
      </c>
      <c r="B313" s="87" t="s">
        <v>900</v>
      </c>
      <c r="C313" s="85" t="str">
        <f>"O-16-694"</f>
        <v>O-16-694</v>
      </c>
      <c r="D313" s="86">
        <v>42361</v>
      </c>
      <c r="E313" s="86">
        <v>43100</v>
      </c>
      <c r="F313" s="84">
        <v>8324.48</v>
      </c>
      <c r="G313" s="84">
        <v>10405.6</v>
      </c>
      <c r="H313" s="86">
        <v>43008</v>
      </c>
      <c r="I313" s="37">
        <v>11010.9121</v>
      </c>
      <c r="J313" s="72"/>
      <c r="K313" s="45"/>
    </row>
    <row r="314" spans="1:11" x14ac:dyDescent="0.25">
      <c r="A314" s="115">
        <v>307</v>
      </c>
      <c r="B314" s="87" t="s">
        <v>901</v>
      </c>
      <c r="C314" s="85" t="str">
        <f>"60/VRH/2015"</f>
        <v>60/VRH/2015</v>
      </c>
      <c r="D314" s="86">
        <v>42360</v>
      </c>
      <c r="E314" s="86">
        <v>43100</v>
      </c>
      <c r="F314" s="84">
        <v>351511.32</v>
      </c>
      <c r="G314" s="84">
        <v>439389.15</v>
      </c>
      <c r="H314" s="86">
        <v>43008</v>
      </c>
      <c r="I314" s="37">
        <v>427552.84549999994</v>
      </c>
      <c r="J314" s="72"/>
      <c r="K314" s="45"/>
    </row>
    <row r="315" spans="1:11" x14ac:dyDescent="0.25">
      <c r="A315" s="115">
        <v>308</v>
      </c>
      <c r="B315" s="87" t="s">
        <v>207</v>
      </c>
      <c r="C315" s="85" t="str">
        <f>"59/HS/2015"</f>
        <v>59/HS/2015</v>
      </c>
      <c r="D315" s="86">
        <v>42360</v>
      </c>
      <c r="E315" s="86">
        <v>43100</v>
      </c>
      <c r="F315" s="84">
        <v>1000498.32</v>
      </c>
      <c r="G315" s="84">
        <v>1250622.8999999999</v>
      </c>
      <c r="H315" s="86">
        <v>43008</v>
      </c>
      <c r="I315" s="37">
        <v>1449019.5433999998</v>
      </c>
      <c r="J315" s="72"/>
      <c r="K315" s="45"/>
    </row>
    <row r="316" spans="1:11" ht="24" x14ac:dyDescent="0.25">
      <c r="A316" s="115">
        <v>309</v>
      </c>
      <c r="B316" s="87" t="s">
        <v>691</v>
      </c>
      <c r="C316" s="85" t="str">
        <f>"O-16-324"</f>
        <v>O-16-324</v>
      </c>
      <c r="D316" s="86">
        <v>42355</v>
      </c>
      <c r="E316" s="86">
        <v>43086</v>
      </c>
      <c r="F316" s="84">
        <v>1549237.85</v>
      </c>
      <c r="G316" s="84">
        <v>1936547.31</v>
      </c>
      <c r="H316" s="86">
        <v>43086</v>
      </c>
      <c r="I316" s="37">
        <v>3219222.1281999997</v>
      </c>
      <c r="J316" s="72"/>
      <c r="K316" s="45"/>
    </row>
    <row r="317" spans="1:11" ht="24" x14ac:dyDescent="0.25">
      <c r="A317" s="115">
        <v>310</v>
      </c>
      <c r="B317" s="87" t="s">
        <v>477</v>
      </c>
      <c r="C317" s="85" t="str">
        <f>"O-16-538"</f>
        <v>O-16-538</v>
      </c>
      <c r="D317" s="86">
        <v>42354</v>
      </c>
      <c r="E317" s="86">
        <v>43100</v>
      </c>
      <c r="F317" s="84">
        <v>76127.350000000006</v>
      </c>
      <c r="G317" s="84">
        <v>95159.19</v>
      </c>
      <c r="H317" s="86">
        <v>43100</v>
      </c>
      <c r="I317" s="37">
        <v>238460.52129999999</v>
      </c>
      <c r="J317" s="72"/>
      <c r="K317" s="45"/>
    </row>
    <row r="318" spans="1:11" ht="24" x14ac:dyDescent="0.25">
      <c r="A318" s="115">
        <v>311</v>
      </c>
      <c r="B318" s="87" t="s">
        <v>611</v>
      </c>
      <c r="C318" s="85" t="str">
        <f>"O-16-693"</f>
        <v>O-16-693</v>
      </c>
      <c r="D318" s="86">
        <v>42370</v>
      </c>
      <c r="E318" s="86">
        <v>43100</v>
      </c>
      <c r="F318" s="84">
        <v>54063.06</v>
      </c>
      <c r="G318" s="84">
        <v>67578.83</v>
      </c>
      <c r="H318" s="86">
        <v>43100</v>
      </c>
      <c r="I318" s="37">
        <v>140549.23050000001</v>
      </c>
      <c r="J318" s="72"/>
      <c r="K318" s="45"/>
    </row>
    <row r="319" spans="1:11" x14ac:dyDescent="0.25">
      <c r="A319" s="115">
        <v>312</v>
      </c>
      <c r="B319" s="87" t="s">
        <v>610</v>
      </c>
      <c r="C319" s="85" t="str">
        <f>"O-16-738"</f>
        <v>O-16-738</v>
      </c>
      <c r="D319" s="86">
        <v>42368</v>
      </c>
      <c r="E319" s="86">
        <v>43465</v>
      </c>
      <c r="F319" s="84">
        <v>73411.199999999997</v>
      </c>
      <c r="G319" s="84">
        <v>91764</v>
      </c>
      <c r="H319" s="86">
        <v>43100</v>
      </c>
      <c r="I319" s="37">
        <v>211970.54149999996</v>
      </c>
      <c r="J319" s="72"/>
      <c r="K319" s="45"/>
    </row>
    <row r="320" spans="1:11" x14ac:dyDescent="0.25">
      <c r="A320" s="115">
        <v>313</v>
      </c>
      <c r="B320" s="87" t="s">
        <v>583</v>
      </c>
      <c r="C320" s="85" t="str">
        <f>"O-16-183"</f>
        <v>O-16-183</v>
      </c>
      <c r="D320" s="86">
        <v>42352</v>
      </c>
      <c r="E320" s="86">
        <v>43101</v>
      </c>
      <c r="F320" s="84">
        <v>37748.51</v>
      </c>
      <c r="G320" s="84">
        <v>47185.64</v>
      </c>
      <c r="H320" s="86">
        <v>43100</v>
      </c>
      <c r="I320" s="37">
        <v>107386.52159999999</v>
      </c>
      <c r="J320" s="72"/>
      <c r="K320" s="45"/>
    </row>
    <row r="321" spans="1:11" x14ac:dyDescent="0.25">
      <c r="A321" s="115">
        <v>314</v>
      </c>
      <c r="B321" s="87" t="s">
        <v>902</v>
      </c>
      <c r="C321" s="85" t="str">
        <f>"HEP STIN"</f>
        <v>HEP STIN</v>
      </c>
      <c r="D321" s="86">
        <v>42359</v>
      </c>
      <c r="E321" s="86">
        <v>43100</v>
      </c>
      <c r="F321" s="84">
        <v>15952</v>
      </c>
      <c r="G321" s="84">
        <v>19940</v>
      </c>
      <c r="H321" s="86">
        <v>43008</v>
      </c>
      <c r="I321" s="37">
        <v>34156.521299999993</v>
      </c>
      <c r="J321" s="72"/>
      <c r="K321" s="45"/>
    </row>
    <row r="322" spans="1:11" ht="24" x14ac:dyDescent="0.25">
      <c r="A322" s="115">
        <v>315</v>
      </c>
      <c r="B322" s="87" t="s">
        <v>482</v>
      </c>
      <c r="C322" s="85" t="str">
        <f>"O-16-626/1"</f>
        <v>O-16-626/1</v>
      </c>
      <c r="D322" s="86">
        <v>42356</v>
      </c>
      <c r="E322" s="86">
        <v>43100</v>
      </c>
      <c r="F322" s="84">
        <v>215384.73</v>
      </c>
      <c r="G322" s="84">
        <v>269230.90999999997</v>
      </c>
      <c r="H322" s="86">
        <v>43100</v>
      </c>
      <c r="I322" s="37">
        <v>647403.14819999994</v>
      </c>
      <c r="J322" s="72"/>
      <c r="K322" s="45"/>
    </row>
    <row r="323" spans="1:11" x14ac:dyDescent="0.25">
      <c r="A323" s="115">
        <v>316</v>
      </c>
      <c r="B323" s="87" t="s">
        <v>655</v>
      </c>
      <c r="C323" s="85" t="str">
        <f>"O-16-493"</f>
        <v>O-16-493</v>
      </c>
      <c r="D323" s="86">
        <v>42354</v>
      </c>
      <c r="E323" s="86">
        <v>43100</v>
      </c>
      <c r="F323" s="84">
        <v>41940.720000000001</v>
      </c>
      <c r="G323" s="84">
        <v>52425.9</v>
      </c>
      <c r="H323" s="86">
        <v>43100</v>
      </c>
      <c r="I323" s="37">
        <v>49660.595899999993</v>
      </c>
      <c r="J323" s="72"/>
      <c r="K323" s="45"/>
    </row>
    <row r="324" spans="1:11" x14ac:dyDescent="0.25">
      <c r="A324" s="115">
        <v>317</v>
      </c>
      <c r="B324" s="87" t="s">
        <v>539</v>
      </c>
      <c r="C324" s="85" t="str">
        <f>"0-16-573"</f>
        <v>0-16-573</v>
      </c>
      <c r="D324" s="86">
        <v>42370</v>
      </c>
      <c r="E324" s="86">
        <v>43100</v>
      </c>
      <c r="F324" s="84">
        <v>174417.45</v>
      </c>
      <c r="G324" s="84">
        <v>218021.81</v>
      </c>
      <c r="H324" s="86">
        <v>43100</v>
      </c>
      <c r="I324" s="37">
        <v>684076.14559999993</v>
      </c>
      <c r="J324" s="72"/>
      <c r="K324" s="45"/>
    </row>
    <row r="325" spans="1:11" x14ac:dyDescent="0.25">
      <c r="A325" s="115">
        <v>318</v>
      </c>
      <c r="B325" s="87" t="s">
        <v>714</v>
      </c>
      <c r="C325" s="85" t="str">
        <f>"SU 297/15"</f>
        <v>SU 297/15</v>
      </c>
      <c r="D325" s="86">
        <v>42355</v>
      </c>
      <c r="E325" s="86">
        <v>43100</v>
      </c>
      <c r="F325" s="84">
        <v>88763.18</v>
      </c>
      <c r="G325" s="84">
        <v>110953.98</v>
      </c>
      <c r="H325" s="86">
        <v>43100</v>
      </c>
      <c r="I325" s="37">
        <v>164663.5435</v>
      </c>
      <c r="J325" s="72"/>
      <c r="K325" s="45"/>
    </row>
    <row r="326" spans="1:11" x14ac:dyDescent="0.25">
      <c r="A326" s="115">
        <v>319</v>
      </c>
      <c r="B326" s="87" t="s">
        <v>508</v>
      </c>
      <c r="C326" s="85" t="str">
        <f>"O-16-553"</f>
        <v>O-16-553</v>
      </c>
      <c r="D326" s="86">
        <v>42356</v>
      </c>
      <c r="E326" s="86">
        <v>43100</v>
      </c>
      <c r="F326" s="84">
        <v>2600000</v>
      </c>
      <c r="G326" s="84">
        <v>3250000</v>
      </c>
      <c r="H326" s="86">
        <v>43100</v>
      </c>
      <c r="I326" s="37">
        <v>2954958.9383</v>
      </c>
      <c r="J326" s="72"/>
      <c r="K326" s="45"/>
    </row>
    <row r="327" spans="1:11" x14ac:dyDescent="0.25">
      <c r="A327" s="115">
        <v>320</v>
      </c>
      <c r="B327" s="87" t="s">
        <v>903</v>
      </c>
      <c r="C327" s="85" t="str">
        <f>"O-16-329"</f>
        <v>O-16-329</v>
      </c>
      <c r="D327" s="86">
        <v>42352</v>
      </c>
      <c r="E327" s="86">
        <v>43101</v>
      </c>
      <c r="F327" s="84">
        <v>21669.58</v>
      </c>
      <c r="G327" s="88"/>
      <c r="H327" s="86">
        <v>43100</v>
      </c>
      <c r="I327" s="37">
        <v>112728.3593</v>
      </c>
      <c r="J327" s="72"/>
      <c r="K327" s="45"/>
    </row>
    <row r="328" spans="1:11" ht="24" x14ac:dyDescent="0.25">
      <c r="A328" s="115">
        <v>321</v>
      </c>
      <c r="B328" s="87" t="s">
        <v>749</v>
      </c>
      <c r="C328" s="85" t="str">
        <f>"SU-431/2015; O-16-279"</f>
        <v>SU-431/2015; O-16-279</v>
      </c>
      <c r="D328" s="86">
        <v>42356</v>
      </c>
      <c r="E328" s="86">
        <v>43100</v>
      </c>
      <c r="F328" s="84">
        <v>9781.14</v>
      </c>
      <c r="G328" s="84">
        <v>12226.43</v>
      </c>
      <c r="H328" s="86">
        <v>43100</v>
      </c>
      <c r="I328" s="37">
        <v>40567.994399999996</v>
      </c>
      <c r="J328" s="72"/>
      <c r="K328" s="45"/>
    </row>
    <row r="329" spans="1:11" x14ac:dyDescent="0.25">
      <c r="A329" s="115">
        <v>322</v>
      </c>
      <c r="B329" s="87" t="s">
        <v>491</v>
      </c>
      <c r="C329" s="85" t="str">
        <f>"O-16-534"</f>
        <v>O-16-534</v>
      </c>
      <c r="D329" s="86">
        <v>42354</v>
      </c>
      <c r="E329" s="86">
        <v>43100</v>
      </c>
      <c r="F329" s="84">
        <v>72953.42</v>
      </c>
      <c r="G329" s="84">
        <v>91191.78</v>
      </c>
      <c r="H329" s="86">
        <v>43100</v>
      </c>
      <c r="I329" s="37">
        <v>272490.23399999994</v>
      </c>
      <c r="J329" s="72"/>
      <c r="K329" s="45"/>
    </row>
    <row r="330" spans="1:11" x14ac:dyDescent="0.25">
      <c r="A330" s="115">
        <v>323</v>
      </c>
      <c r="B330" s="87" t="s">
        <v>644</v>
      </c>
      <c r="C330" s="85" t="str">
        <f>"O-16-343"</f>
        <v>O-16-343</v>
      </c>
      <c r="D330" s="86">
        <v>42354</v>
      </c>
      <c r="E330" s="86">
        <v>43076</v>
      </c>
      <c r="F330" s="84">
        <v>0</v>
      </c>
      <c r="G330" s="84">
        <v>0</v>
      </c>
      <c r="H330" s="86">
        <v>43100</v>
      </c>
      <c r="I330" s="37">
        <v>25905.690699999996</v>
      </c>
      <c r="J330" s="72"/>
      <c r="K330" s="45"/>
    </row>
    <row r="331" spans="1:11" x14ac:dyDescent="0.25">
      <c r="A331" s="115">
        <v>324</v>
      </c>
      <c r="B331" s="87" t="s">
        <v>728</v>
      </c>
      <c r="C331" s="85" t="str">
        <f>"O-16-337"</f>
        <v>O-16-337</v>
      </c>
      <c r="D331" s="86">
        <v>42356</v>
      </c>
      <c r="E331" s="86">
        <v>43100</v>
      </c>
      <c r="F331" s="84">
        <v>4586.96</v>
      </c>
      <c r="G331" s="84">
        <v>5733.7</v>
      </c>
      <c r="H331" s="86">
        <v>43100</v>
      </c>
      <c r="I331" s="37">
        <v>95521.623299999992</v>
      </c>
      <c r="J331" s="72"/>
      <c r="K331" s="45"/>
    </row>
    <row r="332" spans="1:11" ht="36" x14ac:dyDescent="0.25">
      <c r="A332" s="115">
        <v>325</v>
      </c>
      <c r="B332" s="87" t="s">
        <v>572</v>
      </c>
      <c r="C332" s="85" t="str">
        <f>"O-16-488"</f>
        <v>O-16-488</v>
      </c>
      <c r="D332" s="86">
        <v>42345</v>
      </c>
      <c r="E332" s="86">
        <v>43101</v>
      </c>
      <c r="F332" s="84">
        <v>30668.59</v>
      </c>
      <c r="G332" s="84">
        <v>38335.74</v>
      </c>
      <c r="H332" s="86">
        <v>43100</v>
      </c>
      <c r="I332" s="37">
        <v>37366.986899999996</v>
      </c>
      <c r="J332" s="72"/>
      <c r="K332" s="45"/>
    </row>
    <row r="333" spans="1:11" x14ac:dyDescent="0.25">
      <c r="A333" s="115">
        <v>326</v>
      </c>
      <c r="B333" s="87" t="s">
        <v>497</v>
      </c>
      <c r="C333" s="85" t="str">
        <f>"O-16/267"</f>
        <v>O-16/267</v>
      </c>
      <c r="D333" s="86">
        <v>42354</v>
      </c>
      <c r="E333" s="86">
        <v>43100</v>
      </c>
      <c r="F333" s="84">
        <v>85504.89</v>
      </c>
      <c r="G333" s="84">
        <v>85504.89</v>
      </c>
      <c r="H333" s="86">
        <v>43100</v>
      </c>
      <c r="I333" s="37">
        <v>178199.61009999996</v>
      </c>
      <c r="J333" s="72"/>
      <c r="K333" s="45"/>
    </row>
    <row r="334" spans="1:11" ht="24" x14ac:dyDescent="0.25">
      <c r="A334" s="115">
        <v>327</v>
      </c>
      <c r="B334" s="87" t="s">
        <v>630</v>
      </c>
      <c r="C334" s="85" t="str">
        <f>"O-16-333"</f>
        <v>O-16-333</v>
      </c>
      <c r="D334" s="86">
        <v>42345</v>
      </c>
      <c r="E334" s="86">
        <v>43465</v>
      </c>
      <c r="F334" s="84">
        <v>6045.75</v>
      </c>
      <c r="G334" s="84">
        <v>7557.19</v>
      </c>
      <c r="H334" s="86">
        <v>43100</v>
      </c>
      <c r="I334" s="37">
        <v>29379.502799999998</v>
      </c>
      <c r="J334" s="72"/>
      <c r="K334" s="45"/>
    </row>
    <row r="335" spans="1:11" ht="24" x14ac:dyDescent="0.25">
      <c r="A335" s="115">
        <v>328</v>
      </c>
      <c r="B335" s="87" t="s">
        <v>629</v>
      </c>
      <c r="C335" s="85" t="str">
        <f>"O-16-335"</f>
        <v>O-16-335</v>
      </c>
      <c r="D335" s="86">
        <v>42345</v>
      </c>
      <c r="E335" s="86">
        <v>43100</v>
      </c>
      <c r="F335" s="84">
        <v>313.07</v>
      </c>
      <c r="G335" s="84">
        <v>391.34</v>
      </c>
      <c r="H335" s="86">
        <v>43100</v>
      </c>
      <c r="I335" s="37">
        <v>2041.6274999999998</v>
      </c>
      <c r="J335" s="72"/>
      <c r="K335" s="45"/>
    </row>
    <row r="336" spans="1:11" ht="24" x14ac:dyDescent="0.25">
      <c r="A336" s="115">
        <v>329</v>
      </c>
      <c r="B336" s="87" t="s">
        <v>553</v>
      </c>
      <c r="C336" s="85" t="str">
        <f>"O-16-266"</f>
        <v>O-16-266</v>
      </c>
      <c r="D336" s="86">
        <v>42354</v>
      </c>
      <c r="E336" s="86">
        <v>43100</v>
      </c>
      <c r="F336" s="84">
        <v>20975.99</v>
      </c>
      <c r="G336" s="84">
        <v>26219.99</v>
      </c>
      <c r="H336" s="86">
        <v>43100</v>
      </c>
      <c r="I336" s="37">
        <v>43381.773499999996</v>
      </c>
      <c r="J336" s="72"/>
      <c r="K336" s="45"/>
    </row>
    <row r="337" spans="1:11" ht="24" x14ac:dyDescent="0.25">
      <c r="A337" s="115">
        <v>330</v>
      </c>
      <c r="B337" s="87" t="s">
        <v>554</v>
      </c>
      <c r="C337" s="85" t="str">
        <f>"O-16-557"</f>
        <v>O-16-557</v>
      </c>
      <c r="D337" s="86">
        <v>42353</v>
      </c>
      <c r="E337" s="86">
        <v>43100</v>
      </c>
      <c r="F337" s="84">
        <v>600000</v>
      </c>
      <c r="G337" s="84">
        <v>750000</v>
      </c>
      <c r="H337" s="86">
        <v>43100</v>
      </c>
      <c r="I337" s="37">
        <v>871287.49439999997</v>
      </c>
      <c r="J337" s="72"/>
      <c r="K337" s="45"/>
    </row>
    <row r="338" spans="1:11" x14ac:dyDescent="0.25">
      <c r="A338" s="115">
        <v>331</v>
      </c>
      <c r="B338" s="87" t="s">
        <v>717</v>
      </c>
      <c r="C338" s="85" t="str">
        <f>"O-16-526"</f>
        <v>O-16-526</v>
      </c>
      <c r="D338" s="86">
        <v>42355</v>
      </c>
      <c r="E338" s="86">
        <v>43100</v>
      </c>
      <c r="F338" s="84">
        <v>13141</v>
      </c>
      <c r="G338" s="84">
        <v>16426.25</v>
      </c>
      <c r="H338" s="86">
        <v>43100</v>
      </c>
      <c r="I338" s="37">
        <v>28359.655199999997</v>
      </c>
      <c r="J338" s="72"/>
      <c r="K338" s="45"/>
    </row>
    <row r="339" spans="1:11" ht="48" x14ac:dyDescent="0.25">
      <c r="A339" s="115">
        <v>332</v>
      </c>
      <c r="B339" s="87" t="s">
        <v>904</v>
      </c>
      <c r="C339" s="85" t="str">
        <f>"O-16-255"</f>
        <v>O-16-255</v>
      </c>
      <c r="D339" s="86">
        <v>42416</v>
      </c>
      <c r="E339" s="86">
        <v>43100</v>
      </c>
      <c r="F339" s="84">
        <v>100652.75</v>
      </c>
      <c r="G339" s="84">
        <v>125815.94</v>
      </c>
      <c r="H339" s="86">
        <v>43100</v>
      </c>
      <c r="I339" s="37">
        <v>164313.54859999998</v>
      </c>
      <c r="J339" s="72"/>
      <c r="K339" s="45"/>
    </row>
    <row r="340" spans="1:11" x14ac:dyDescent="0.25">
      <c r="A340" s="115">
        <v>333</v>
      </c>
      <c r="B340" s="87" t="s">
        <v>701</v>
      </c>
      <c r="C340" s="85" t="str">
        <f>"O-16-715"</f>
        <v>O-16-715</v>
      </c>
      <c r="D340" s="86">
        <v>42355</v>
      </c>
      <c r="E340" s="86">
        <v>43101</v>
      </c>
      <c r="F340" s="84">
        <v>10761.86</v>
      </c>
      <c r="G340" s="84">
        <v>13452.33</v>
      </c>
      <c r="H340" s="86">
        <v>43100</v>
      </c>
      <c r="I340" s="37">
        <v>29293.600199999997</v>
      </c>
      <c r="J340" s="72"/>
      <c r="K340" s="45"/>
    </row>
    <row r="341" spans="1:11" x14ac:dyDescent="0.25">
      <c r="A341" s="115">
        <v>334</v>
      </c>
      <c r="B341" s="87" t="s">
        <v>905</v>
      </c>
      <c r="C341" s="85" t="str">
        <f>"18/2015-11/15"</f>
        <v>18/2015-11/15</v>
      </c>
      <c r="D341" s="86">
        <v>42357</v>
      </c>
      <c r="E341" s="86">
        <v>43076</v>
      </c>
      <c r="F341" s="84">
        <v>72606</v>
      </c>
      <c r="G341" s="84">
        <v>90757.5</v>
      </c>
      <c r="H341" s="86">
        <v>43100</v>
      </c>
      <c r="I341" s="37">
        <v>260087.85119999998</v>
      </c>
      <c r="J341" s="72"/>
      <c r="K341" s="45"/>
    </row>
    <row r="342" spans="1:11" ht="36" x14ac:dyDescent="0.25">
      <c r="A342" s="115">
        <v>335</v>
      </c>
      <c r="B342" s="87" t="s">
        <v>711</v>
      </c>
      <c r="C342" s="85" t="str">
        <f>"O-16-327"</f>
        <v>O-16-327</v>
      </c>
      <c r="D342" s="86">
        <v>42353</v>
      </c>
      <c r="E342" s="86">
        <v>43100</v>
      </c>
      <c r="F342" s="84">
        <v>100000</v>
      </c>
      <c r="G342" s="84">
        <v>125000</v>
      </c>
      <c r="H342" s="86">
        <v>43076</v>
      </c>
      <c r="I342" s="37">
        <v>89784.929699999993</v>
      </c>
      <c r="J342" s="72"/>
      <c r="K342" s="45"/>
    </row>
    <row r="343" spans="1:11" x14ac:dyDescent="0.25">
      <c r="A343" s="115">
        <v>336</v>
      </c>
      <c r="B343" s="87" t="s">
        <v>526</v>
      </c>
      <c r="C343" s="85" t="str">
        <f>"O-16-714"</f>
        <v>O-16-714</v>
      </c>
      <c r="D343" s="86">
        <v>42355</v>
      </c>
      <c r="E343" s="86">
        <v>43100</v>
      </c>
      <c r="F343" s="84">
        <v>53336.97</v>
      </c>
      <c r="G343" s="84">
        <v>63471.01</v>
      </c>
      <c r="H343" s="86">
        <v>43100</v>
      </c>
      <c r="I343" s="37">
        <v>62062.537999999993</v>
      </c>
      <c r="J343" s="72"/>
      <c r="K343" s="45"/>
    </row>
    <row r="344" spans="1:11" x14ac:dyDescent="0.25">
      <c r="A344" s="115">
        <v>337</v>
      </c>
      <c r="B344" s="87" t="s">
        <v>607</v>
      </c>
      <c r="C344" s="85" t="str">
        <f>"O-16-404"</f>
        <v>O-16-404</v>
      </c>
      <c r="D344" s="86">
        <v>42352</v>
      </c>
      <c r="E344" s="86">
        <v>43101</v>
      </c>
      <c r="F344" s="84">
        <v>8809.39</v>
      </c>
      <c r="G344" s="84">
        <v>11011.74</v>
      </c>
      <c r="H344" s="86">
        <v>43100</v>
      </c>
      <c r="I344" s="37">
        <v>30805.268999999997</v>
      </c>
      <c r="J344" s="72"/>
      <c r="K344" s="45"/>
    </row>
    <row r="345" spans="1:11" ht="24" x14ac:dyDescent="0.25">
      <c r="A345" s="115">
        <v>338</v>
      </c>
      <c r="B345" s="87" t="s">
        <v>581</v>
      </c>
      <c r="C345" s="85" t="str">
        <f>"41 SU 792/2015"</f>
        <v>41 SU 792/2015</v>
      </c>
      <c r="D345" s="86">
        <v>42355</v>
      </c>
      <c r="E345" s="86">
        <v>43100</v>
      </c>
      <c r="F345" s="84">
        <v>105457.58</v>
      </c>
      <c r="G345" s="84">
        <v>131821.98000000001</v>
      </c>
      <c r="H345" s="86">
        <v>43100</v>
      </c>
      <c r="I345" s="37">
        <v>129572.0376</v>
      </c>
      <c r="J345" s="72"/>
      <c r="K345" s="45"/>
    </row>
    <row r="346" spans="1:11" x14ac:dyDescent="0.25">
      <c r="A346" s="115">
        <v>339</v>
      </c>
      <c r="B346" s="87" t="s">
        <v>627</v>
      </c>
      <c r="C346" s="85" t="str">
        <f>"41 SU-188/15"</f>
        <v>41 SU-188/15</v>
      </c>
      <c r="D346" s="86">
        <v>42355</v>
      </c>
      <c r="E346" s="86">
        <v>43100</v>
      </c>
      <c r="F346" s="84">
        <v>11779.49</v>
      </c>
      <c r="G346" s="84">
        <v>14724.36</v>
      </c>
      <c r="H346" s="86">
        <v>43100</v>
      </c>
      <c r="I346" s="37">
        <v>55181.549899999998</v>
      </c>
      <c r="J346" s="72"/>
      <c r="K346" s="45"/>
    </row>
    <row r="347" spans="1:11" ht="24" x14ac:dyDescent="0.25">
      <c r="A347" s="115">
        <v>340</v>
      </c>
      <c r="B347" s="87" t="s">
        <v>647</v>
      </c>
      <c r="C347" s="85" t="str">
        <f>"41 SU-389/2015"</f>
        <v>41 SU-389/2015</v>
      </c>
      <c r="D347" s="86">
        <v>42354</v>
      </c>
      <c r="E347" s="86">
        <v>43100</v>
      </c>
      <c r="F347" s="84">
        <v>29080</v>
      </c>
      <c r="G347" s="84">
        <v>36350</v>
      </c>
      <c r="H347" s="86">
        <v>43100</v>
      </c>
      <c r="I347" s="37">
        <v>82389.825499999992</v>
      </c>
      <c r="J347" s="72"/>
      <c r="K347" s="45"/>
    </row>
    <row r="348" spans="1:11" x14ac:dyDescent="0.25">
      <c r="A348" s="115">
        <v>341</v>
      </c>
      <c r="B348" s="87" t="s">
        <v>517</v>
      </c>
      <c r="C348" s="85" t="str">
        <f>"O-16-502"</f>
        <v>O-16-502</v>
      </c>
      <c r="D348" s="86">
        <v>42356</v>
      </c>
      <c r="E348" s="86">
        <v>43100</v>
      </c>
      <c r="F348" s="84">
        <v>9488.76</v>
      </c>
      <c r="G348" s="84">
        <v>11860.95</v>
      </c>
      <c r="H348" s="86">
        <v>43100</v>
      </c>
      <c r="I348" s="37">
        <v>81508.368999999992</v>
      </c>
      <c r="J348" s="72"/>
      <c r="K348" s="45"/>
    </row>
    <row r="349" spans="1:11" ht="24" x14ac:dyDescent="0.25">
      <c r="A349" s="115">
        <v>342</v>
      </c>
      <c r="B349" s="87" t="s">
        <v>906</v>
      </c>
      <c r="C349" s="85" t="str">
        <f>"O-16-704"</f>
        <v>O-16-704</v>
      </c>
      <c r="D349" s="86">
        <v>42401</v>
      </c>
      <c r="E349" s="86">
        <v>43131</v>
      </c>
      <c r="F349" s="84">
        <v>5200</v>
      </c>
      <c r="G349" s="84">
        <v>6500</v>
      </c>
      <c r="H349" s="86">
        <v>43100</v>
      </c>
      <c r="I349" s="37">
        <v>14363.057099999998</v>
      </c>
      <c r="J349" s="72"/>
      <c r="K349" s="45"/>
    </row>
    <row r="350" spans="1:11" ht="24" x14ac:dyDescent="0.25">
      <c r="A350" s="115">
        <v>343</v>
      </c>
      <c r="B350" s="87" t="s">
        <v>186</v>
      </c>
      <c r="C350" s="85" t="str">
        <f>"406-01/15-01/0208"</f>
        <v>406-01/15-01/0208</v>
      </c>
      <c r="D350" s="86">
        <v>42355</v>
      </c>
      <c r="E350" s="86">
        <v>43100</v>
      </c>
      <c r="F350" s="84">
        <v>233627.21</v>
      </c>
      <c r="G350" s="84">
        <v>292034.01</v>
      </c>
      <c r="H350" s="86">
        <v>43008</v>
      </c>
      <c r="I350" s="37">
        <v>648551.27339999995</v>
      </c>
      <c r="J350" s="72"/>
      <c r="K350" s="45"/>
    </row>
    <row r="351" spans="1:11" x14ac:dyDescent="0.25">
      <c r="A351" s="115">
        <v>344</v>
      </c>
      <c r="B351" s="87" t="s">
        <v>725</v>
      </c>
      <c r="C351" s="85" t="str">
        <f>"O-16-403"</f>
        <v>O-16-403</v>
      </c>
      <c r="D351" s="86">
        <v>42355</v>
      </c>
      <c r="E351" s="86">
        <v>43100</v>
      </c>
      <c r="F351" s="84">
        <v>242124.83</v>
      </c>
      <c r="G351" s="84">
        <v>302656.03999999998</v>
      </c>
      <c r="H351" s="86">
        <v>43100</v>
      </c>
      <c r="I351" s="37">
        <v>486677.82419999997</v>
      </c>
      <c r="J351" s="72"/>
      <c r="K351" s="45"/>
    </row>
    <row r="352" spans="1:11" x14ac:dyDescent="0.25">
      <c r="A352" s="115">
        <v>345</v>
      </c>
      <c r="B352" s="87" t="s">
        <v>606</v>
      </c>
      <c r="C352" s="85" t="str">
        <f>"EL. ENERGIJA"</f>
        <v>EL. ENERGIJA</v>
      </c>
      <c r="D352" s="86">
        <v>42354</v>
      </c>
      <c r="E352" s="86">
        <v>43100</v>
      </c>
      <c r="F352" s="84">
        <v>2934</v>
      </c>
      <c r="G352" s="84">
        <v>3667.5</v>
      </c>
      <c r="H352" s="86">
        <v>43100</v>
      </c>
      <c r="I352" s="37">
        <v>14610.583599999998</v>
      </c>
      <c r="J352" s="72"/>
      <c r="K352" s="45"/>
    </row>
    <row r="353" spans="1:11" x14ac:dyDescent="0.25">
      <c r="A353" s="115">
        <v>346</v>
      </c>
      <c r="B353" s="87" t="s">
        <v>501</v>
      </c>
      <c r="C353" s="85" t="str">
        <f>"O-16-641"</f>
        <v>O-16-641</v>
      </c>
      <c r="D353" s="86">
        <v>42355</v>
      </c>
      <c r="E353" s="86">
        <v>43100</v>
      </c>
      <c r="F353" s="84">
        <v>85974.89</v>
      </c>
      <c r="G353" s="84">
        <v>107468.61</v>
      </c>
      <c r="H353" s="86">
        <v>43100</v>
      </c>
      <c r="I353" s="37">
        <v>178081.78499999997</v>
      </c>
      <c r="J353" s="72"/>
      <c r="K353" s="45"/>
    </row>
    <row r="354" spans="1:11" ht="36" x14ac:dyDescent="0.25">
      <c r="A354" s="115">
        <v>347</v>
      </c>
      <c r="B354" s="87" t="s">
        <v>712</v>
      </c>
      <c r="C354" s="85" t="str">
        <f>"O-16-282"</f>
        <v>O-16-282</v>
      </c>
      <c r="D354" s="86">
        <v>42353</v>
      </c>
      <c r="E354" s="86">
        <v>43100</v>
      </c>
      <c r="F354" s="84">
        <v>5321.34</v>
      </c>
      <c r="G354" s="84">
        <v>6651.68</v>
      </c>
      <c r="H354" s="86">
        <v>43100</v>
      </c>
      <c r="I354" s="37">
        <v>22908.241399999995</v>
      </c>
      <c r="J354" s="72"/>
      <c r="K354" s="45"/>
    </row>
    <row r="355" spans="1:11" x14ac:dyDescent="0.25">
      <c r="A355" s="115">
        <v>348</v>
      </c>
      <c r="B355" s="87" t="s">
        <v>745</v>
      </c>
      <c r="C355" s="85" t="str">
        <f>"O-16-620"</f>
        <v>O-16-620</v>
      </c>
      <c r="D355" s="86">
        <v>42354</v>
      </c>
      <c r="E355" s="86">
        <v>43101</v>
      </c>
      <c r="F355" s="84">
        <v>22649.39</v>
      </c>
      <c r="G355" s="84">
        <v>28311.74</v>
      </c>
      <c r="H355" s="86">
        <v>43100</v>
      </c>
      <c r="I355" s="37">
        <v>74966.27919999999</v>
      </c>
      <c r="J355" s="72"/>
      <c r="K355" s="45"/>
    </row>
    <row r="356" spans="1:11" ht="24" x14ac:dyDescent="0.25">
      <c r="A356" s="115">
        <v>349</v>
      </c>
      <c r="B356" s="87" t="s">
        <v>609</v>
      </c>
      <c r="C356" s="85" t="str">
        <f>"41-SU-973/2015"</f>
        <v>41-SU-973/2015</v>
      </c>
      <c r="D356" s="86">
        <v>42352</v>
      </c>
      <c r="E356" s="86">
        <v>43100</v>
      </c>
      <c r="F356" s="84">
        <v>28580.5</v>
      </c>
      <c r="G356" s="84">
        <v>35725.629999999997</v>
      </c>
      <c r="H356" s="86">
        <v>43100</v>
      </c>
      <c r="I356" s="37">
        <v>61251.649999999994</v>
      </c>
      <c r="J356" s="72"/>
      <c r="K356" s="45"/>
    </row>
    <row r="357" spans="1:11" x14ac:dyDescent="0.25">
      <c r="A357" s="115">
        <v>350</v>
      </c>
      <c r="B357" s="87" t="s">
        <v>688</v>
      </c>
      <c r="C357" s="85" t="str">
        <f>"O-16-373"</f>
        <v>O-16-373</v>
      </c>
      <c r="D357" s="86">
        <v>42354</v>
      </c>
      <c r="E357" s="86">
        <v>43100</v>
      </c>
      <c r="F357" s="84">
        <v>103533.94</v>
      </c>
      <c r="G357" s="84">
        <v>129417.43</v>
      </c>
      <c r="H357" s="86">
        <v>43100</v>
      </c>
      <c r="I357" s="37">
        <v>97232.748399999982</v>
      </c>
      <c r="J357" s="72"/>
      <c r="K357" s="45"/>
    </row>
    <row r="358" spans="1:11" ht="24" x14ac:dyDescent="0.25">
      <c r="A358" s="115">
        <v>351</v>
      </c>
      <c r="B358" s="87" t="s">
        <v>739</v>
      </c>
      <c r="C358" s="85" t="str">
        <f>"O-16-496"</f>
        <v>O-16-496</v>
      </c>
      <c r="D358" s="86">
        <v>42356</v>
      </c>
      <c r="E358" s="86">
        <v>43100</v>
      </c>
      <c r="F358" s="84">
        <v>36489.589999999997</v>
      </c>
      <c r="G358" s="84">
        <v>45611.99</v>
      </c>
      <c r="H358" s="86">
        <v>43100</v>
      </c>
      <c r="I358" s="37">
        <v>93334.813399999985</v>
      </c>
      <c r="J358" s="72"/>
      <c r="K358" s="45"/>
    </row>
    <row r="359" spans="1:11" ht="24" x14ac:dyDescent="0.25">
      <c r="A359" s="115">
        <v>352</v>
      </c>
      <c r="B359" s="87" t="s">
        <v>907</v>
      </c>
      <c r="C359" s="85" t="str">
        <f>"O-16-565"</f>
        <v>O-16-565</v>
      </c>
      <c r="D359" s="86">
        <v>42354</v>
      </c>
      <c r="E359" s="86">
        <v>43100</v>
      </c>
      <c r="F359" s="84">
        <v>5000</v>
      </c>
      <c r="G359" s="84">
        <v>6250</v>
      </c>
      <c r="H359" s="86">
        <v>43100</v>
      </c>
      <c r="I359" s="37">
        <v>9426.4373999999989</v>
      </c>
      <c r="J359" s="72"/>
      <c r="K359" s="45"/>
    </row>
    <row r="360" spans="1:11" x14ac:dyDescent="0.25">
      <c r="A360" s="115">
        <v>353</v>
      </c>
      <c r="B360" s="87" t="s">
        <v>731</v>
      </c>
      <c r="C360" s="85" t="str">
        <f>"O-16-600"</f>
        <v>O-16-600</v>
      </c>
      <c r="D360" s="86">
        <v>42359</v>
      </c>
      <c r="E360" s="86">
        <v>43100</v>
      </c>
      <c r="F360" s="84">
        <v>0</v>
      </c>
      <c r="G360" s="84">
        <v>0</v>
      </c>
      <c r="H360" s="86">
        <v>43100</v>
      </c>
      <c r="I360" s="37">
        <v>310123.4376</v>
      </c>
      <c r="J360" s="72"/>
      <c r="K360" s="45"/>
    </row>
    <row r="361" spans="1:11" x14ac:dyDescent="0.25">
      <c r="A361" s="115">
        <v>354</v>
      </c>
      <c r="B361" s="87" t="s">
        <v>751</v>
      </c>
      <c r="C361" s="85" t="str">
        <f>"O-16-494"</f>
        <v>O-16-494</v>
      </c>
      <c r="D361" s="86">
        <v>42356</v>
      </c>
      <c r="E361" s="86">
        <v>43100</v>
      </c>
      <c r="F361" s="84">
        <v>120174.29</v>
      </c>
      <c r="G361" s="84">
        <v>150217.85999999999</v>
      </c>
      <c r="H361" s="86">
        <v>43100</v>
      </c>
      <c r="I361" s="37">
        <v>358410.91399999993</v>
      </c>
      <c r="J361" s="72"/>
      <c r="K361" s="45"/>
    </row>
    <row r="362" spans="1:11" x14ac:dyDescent="0.25">
      <c r="A362" s="115">
        <v>355</v>
      </c>
      <c r="B362" s="87" t="s">
        <v>586</v>
      </c>
      <c r="C362" s="85" t="str">
        <f>"1108/15"</f>
        <v>1108/15</v>
      </c>
      <c r="D362" s="86">
        <v>42354</v>
      </c>
      <c r="E362" s="86">
        <v>43100</v>
      </c>
      <c r="F362" s="84">
        <v>69776</v>
      </c>
      <c r="G362" s="84">
        <v>87220</v>
      </c>
      <c r="H362" s="86">
        <v>43100</v>
      </c>
      <c r="I362" s="37">
        <v>524941.2966</v>
      </c>
      <c r="J362" s="72"/>
      <c r="K362" s="45"/>
    </row>
    <row r="363" spans="1:11" x14ac:dyDescent="0.25">
      <c r="A363" s="115">
        <v>356</v>
      </c>
      <c r="B363" s="87" t="s">
        <v>474</v>
      </c>
      <c r="C363" s="85" t="str">
        <f>"O-16-617"</f>
        <v>O-16-617</v>
      </c>
      <c r="D363" s="86">
        <v>42355</v>
      </c>
      <c r="E363" s="86">
        <v>43100</v>
      </c>
      <c r="F363" s="84">
        <v>597064.6</v>
      </c>
      <c r="G363" s="84">
        <v>746330.75</v>
      </c>
      <c r="H363" s="86">
        <v>43100</v>
      </c>
      <c r="I363" s="37">
        <v>528163.64980000001</v>
      </c>
      <c r="J363" s="72"/>
      <c r="K363" s="45"/>
    </row>
    <row r="364" spans="1:11" ht="36" x14ac:dyDescent="0.25">
      <c r="A364" s="115">
        <v>357</v>
      </c>
      <c r="B364" s="87" t="s">
        <v>908</v>
      </c>
      <c r="C364" s="85" t="str">
        <f>"A-146/13-24"</f>
        <v>A-146/13-24</v>
      </c>
      <c r="D364" s="86">
        <v>42352</v>
      </c>
      <c r="E364" s="86">
        <v>43100</v>
      </c>
      <c r="F364" s="84">
        <v>5552.3</v>
      </c>
      <c r="G364" s="84">
        <v>6940.38</v>
      </c>
      <c r="H364" s="86">
        <v>43100</v>
      </c>
      <c r="I364" s="37">
        <v>22147.310699999998</v>
      </c>
      <c r="J364" s="72"/>
      <c r="K364" s="45"/>
    </row>
    <row r="365" spans="1:11" x14ac:dyDescent="0.25">
      <c r="A365" s="115">
        <v>358</v>
      </c>
      <c r="B365" s="87" t="s">
        <v>909</v>
      </c>
      <c r="C365" s="85" t="str">
        <f>"O-16-640"</f>
        <v>O-16-640</v>
      </c>
      <c r="D365" s="86">
        <v>42370</v>
      </c>
      <c r="E365" s="86">
        <v>43100</v>
      </c>
      <c r="F365" s="84">
        <v>4798.21</v>
      </c>
      <c r="G365" s="84">
        <v>5997.76</v>
      </c>
      <c r="H365" s="86">
        <v>43100</v>
      </c>
      <c r="I365" s="37">
        <v>16885.092799999999</v>
      </c>
      <c r="J365" s="72"/>
      <c r="K365" s="45"/>
    </row>
    <row r="366" spans="1:11" x14ac:dyDescent="0.25">
      <c r="A366" s="115">
        <v>359</v>
      </c>
      <c r="B366" s="87" t="s">
        <v>696</v>
      </c>
      <c r="C366" s="85" t="str">
        <f>"O-16-631"</f>
        <v>O-16-631</v>
      </c>
      <c r="D366" s="86">
        <v>42356</v>
      </c>
      <c r="E366" s="86">
        <v>43465</v>
      </c>
      <c r="F366" s="84">
        <v>32259.38</v>
      </c>
      <c r="G366" s="84">
        <v>40324.230000000003</v>
      </c>
      <c r="H366" s="86">
        <v>43100</v>
      </c>
      <c r="I366" s="37">
        <v>136731.4803</v>
      </c>
      <c r="J366" s="72"/>
      <c r="K366" s="45"/>
    </row>
    <row r="367" spans="1:11" ht="24" x14ac:dyDescent="0.25">
      <c r="A367" s="115">
        <v>360</v>
      </c>
      <c r="B367" s="87" t="s">
        <v>600</v>
      </c>
      <c r="C367" s="85" t="str">
        <f>"0-16-362"</f>
        <v>0-16-362</v>
      </c>
      <c r="D367" s="86">
        <v>42356</v>
      </c>
      <c r="E367" s="86">
        <v>43100</v>
      </c>
      <c r="F367" s="84">
        <v>561.72</v>
      </c>
      <c r="G367" s="84">
        <v>702.15</v>
      </c>
      <c r="H367" s="86">
        <v>43100</v>
      </c>
      <c r="I367" s="37">
        <v>4014.5057999999995</v>
      </c>
      <c r="J367" s="72"/>
      <c r="K367" s="45"/>
    </row>
    <row r="368" spans="1:11" x14ac:dyDescent="0.25">
      <c r="A368" s="115">
        <v>361</v>
      </c>
      <c r="B368" s="87" t="s">
        <v>910</v>
      </c>
      <c r="C368" s="85" t="str">
        <f>"O-16-525"</f>
        <v>O-16-525</v>
      </c>
      <c r="D368" s="86">
        <v>42488</v>
      </c>
      <c r="E368" s="86">
        <v>43100</v>
      </c>
      <c r="F368" s="84">
        <v>152418.68</v>
      </c>
      <c r="G368" s="84">
        <v>190523.35</v>
      </c>
      <c r="H368" s="86">
        <v>43100</v>
      </c>
      <c r="I368" s="37">
        <v>165800.35740000001</v>
      </c>
      <c r="J368" s="72"/>
      <c r="K368" s="45"/>
    </row>
    <row r="369" spans="1:11" ht="24" x14ac:dyDescent="0.25">
      <c r="A369" s="115">
        <v>362</v>
      </c>
      <c r="B369" s="87" t="s">
        <v>673</v>
      </c>
      <c r="C369" s="85" t="str">
        <f>"O-16-490"</f>
        <v>O-16-490</v>
      </c>
      <c r="D369" s="86">
        <v>42359</v>
      </c>
      <c r="E369" s="86">
        <v>43100</v>
      </c>
      <c r="F369" s="84">
        <v>21624.240000000002</v>
      </c>
      <c r="G369" s="84">
        <v>21624.240000000002</v>
      </c>
      <c r="H369" s="86">
        <v>43100</v>
      </c>
      <c r="I369" s="37">
        <v>55203.189399999988</v>
      </c>
      <c r="J369" s="72"/>
      <c r="K369" s="45"/>
    </row>
    <row r="370" spans="1:11" ht="24" x14ac:dyDescent="0.25">
      <c r="A370" s="115">
        <v>363</v>
      </c>
      <c r="B370" s="87" t="s">
        <v>483</v>
      </c>
      <c r="C370" s="85" t="str">
        <f>"O-16-548"</f>
        <v>O-16-548</v>
      </c>
      <c r="D370" s="86">
        <v>42356</v>
      </c>
      <c r="E370" s="86">
        <v>43101</v>
      </c>
      <c r="F370" s="84">
        <v>0</v>
      </c>
      <c r="G370" s="84">
        <v>0</v>
      </c>
      <c r="H370" s="86">
        <v>43008</v>
      </c>
      <c r="I370" s="37">
        <v>212684.72409999999</v>
      </c>
      <c r="J370" s="72"/>
      <c r="K370" s="45"/>
    </row>
    <row r="371" spans="1:11" x14ac:dyDescent="0.25">
      <c r="A371" s="115">
        <v>364</v>
      </c>
      <c r="B371" s="87" t="s">
        <v>503</v>
      </c>
      <c r="C371" s="85" t="str">
        <f>"0-16-598"</f>
        <v>0-16-598</v>
      </c>
      <c r="D371" s="86">
        <v>42355</v>
      </c>
      <c r="E371" s="86">
        <v>43100</v>
      </c>
      <c r="F371" s="84">
        <v>191869.06</v>
      </c>
      <c r="G371" s="84">
        <v>239836.33</v>
      </c>
      <c r="H371" s="86">
        <v>43100</v>
      </c>
      <c r="I371" s="37">
        <v>189442.37559999997</v>
      </c>
      <c r="J371" s="72"/>
      <c r="K371" s="45"/>
    </row>
    <row r="372" spans="1:11" ht="24" x14ac:dyDescent="0.25">
      <c r="A372" s="115">
        <v>365</v>
      </c>
      <c r="B372" s="87" t="s">
        <v>911</v>
      </c>
      <c r="C372" s="85" t="str">
        <f>"O-16-551"</f>
        <v>O-16-551</v>
      </c>
      <c r="D372" s="86">
        <v>42356</v>
      </c>
      <c r="E372" s="86">
        <v>43100</v>
      </c>
      <c r="F372" s="84">
        <v>112000</v>
      </c>
      <c r="G372" s="84">
        <v>140000</v>
      </c>
      <c r="H372" s="86">
        <v>43100</v>
      </c>
      <c r="I372" s="37">
        <v>374163.69029999996</v>
      </c>
      <c r="J372" s="72"/>
      <c r="K372" s="45"/>
    </row>
    <row r="373" spans="1:11" x14ac:dyDescent="0.25">
      <c r="A373" s="115">
        <v>366</v>
      </c>
      <c r="B373" s="87" t="s">
        <v>912</v>
      </c>
      <c r="C373" s="85" t="str">
        <f>"1-2016"</f>
        <v>1-2016</v>
      </c>
      <c r="D373" s="86">
        <v>42354</v>
      </c>
      <c r="E373" s="86">
        <v>43101</v>
      </c>
      <c r="F373" s="84">
        <v>7498.18</v>
      </c>
      <c r="G373" s="84">
        <v>9372.73</v>
      </c>
      <c r="H373" s="86">
        <v>43100</v>
      </c>
      <c r="I373" s="37">
        <v>64499.179599999989</v>
      </c>
      <c r="J373" s="72"/>
      <c r="K373" s="45"/>
    </row>
    <row r="374" spans="1:11" ht="24" x14ac:dyDescent="0.25">
      <c r="A374" s="115">
        <v>367</v>
      </c>
      <c r="B374" s="87" t="s">
        <v>682</v>
      </c>
      <c r="C374" s="85" t="str">
        <f>"O-16-624"</f>
        <v>O-16-624</v>
      </c>
      <c r="D374" s="86">
        <v>42361</v>
      </c>
      <c r="E374" s="86">
        <v>43100</v>
      </c>
      <c r="F374" s="84">
        <v>31401.52</v>
      </c>
      <c r="G374" s="84">
        <v>39251.9</v>
      </c>
      <c r="H374" s="86">
        <v>43100</v>
      </c>
      <c r="I374" s="37">
        <v>66186.823300000004</v>
      </c>
      <c r="J374" s="72"/>
      <c r="K374" s="45"/>
    </row>
    <row r="375" spans="1:11" x14ac:dyDescent="0.25">
      <c r="A375" s="115">
        <v>368</v>
      </c>
      <c r="B375" s="87" t="s">
        <v>490</v>
      </c>
      <c r="C375" s="85" t="str">
        <f>"O-16-368"</f>
        <v>O-16-368</v>
      </c>
      <c r="D375" s="86">
        <v>42354</v>
      </c>
      <c r="E375" s="86">
        <v>43100</v>
      </c>
      <c r="F375" s="84">
        <v>332853.39</v>
      </c>
      <c r="G375" s="84">
        <v>416066.74</v>
      </c>
      <c r="H375" s="86">
        <v>43100</v>
      </c>
      <c r="I375" s="37">
        <v>1252533.923</v>
      </c>
      <c r="J375" s="72"/>
      <c r="K375" s="45"/>
    </row>
    <row r="376" spans="1:11" ht="24" x14ac:dyDescent="0.25">
      <c r="A376" s="115">
        <v>369</v>
      </c>
      <c r="B376" s="87" t="s">
        <v>732</v>
      </c>
      <c r="C376" s="85" t="str">
        <f>"522/2015"</f>
        <v>522/2015</v>
      </c>
      <c r="D376" s="86">
        <v>42359</v>
      </c>
      <c r="E376" s="86">
        <v>43100</v>
      </c>
      <c r="F376" s="84">
        <v>26539.4</v>
      </c>
      <c r="G376" s="84">
        <v>33174.25</v>
      </c>
      <c r="H376" s="86">
        <v>43100</v>
      </c>
      <c r="I376" s="37">
        <v>79805.040899999978</v>
      </c>
      <c r="J376" s="72"/>
      <c r="K376" s="45"/>
    </row>
    <row r="377" spans="1:11" ht="24" x14ac:dyDescent="0.25">
      <c r="A377" s="115">
        <v>370</v>
      </c>
      <c r="B377" s="87" t="s">
        <v>913</v>
      </c>
      <c r="C377" s="85" t="str">
        <f>"O-16-275"</f>
        <v>O-16-275</v>
      </c>
      <c r="D377" s="86">
        <v>42345</v>
      </c>
      <c r="E377" s="86">
        <v>43101</v>
      </c>
      <c r="F377" s="84">
        <v>3059.4</v>
      </c>
      <c r="G377" s="84">
        <v>3824.25</v>
      </c>
      <c r="H377" s="86">
        <v>43100</v>
      </c>
      <c r="I377" s="37">
        <v>12560.605399999999</v>
      </c>
      <c r="J377" s="72"/>
      <c r="K377" s="45"/>
    </row>
    <row r="378" spans="1:11" x14ac:dyDescent="0.25">
      <c r="A378" s="115">
        <v>371</v>
      </c>
      <c r="B378" s="87" t="s">
        <v>687</v>
      </c>
      <c r="C378" s="85" t="str">
        <f>"O-16-359"</f>
        <v>O-16-359</v>
      </c>
      <c r="D378" s="86">
        <v>42359</v>
      </c>
      <c r="E378" s="86">
        <v>43100</v>
      </c>
      <c r="F378" s="84">
        <v>125443.5</v>
      </c>
      <c r="G378" s="84">
        <v>156804.38</v>
      </c>
      <c r="H378" s="86">
        <v>43100</v>
      </c>
      <c r="I378" s="37">
        <v>276851.58199999999</v>
      </c>
      <c r="J378" s="72"/>
      <c r="K378" s="45"/>
    </row>
    <row r="379" spans="1:11" x14ac:dyDescent="0.25">
      <c r="A379" s="115">
        <v>372</v>
      </c>
      <c r="B379" s="87" t="s">
        <v>530</v>
      </c>
      <c r="C379" s="85" t="str">
        <f>"O-16-566"</f>
        <v>O-16-566</v>
      </c>
      <c r="D379" s="86">
        <v>42370</v>
      </c>
      <c r="E379" s="86">
        <v>43100</v>
      </c>
      <c r="F379" s="84">
        <v>8342.36</v>
      </c>
      <c r="G379" s="84">
        <v>10427.950000000001</v>
      </c>
      <c r="H379" s="86">
        <v>43100</v>
      </c>
      <c r="I379" s="109">
        <v>32399.585999999999</v>
      </c>
      <c r="J379" s="1"/>
      <c r="K379" s="20"/>
    </row>
    <row r="380" spans="1:11" ht="24" x14ac:dyDescent="0.25">
      <c r="A380" s="115">
        <v>373</v>
      </c>
      <c r="B380" s="87" t="s">
        <v>199</v>
      </c>
      <c r="C380" s="85" t="str">
        <f>"11/2015-MB"</f>
        <v>11/2015-MB</v>
      </c>
      <c r="D380" s="86">
        <v>42359</v>
      </c>
      <c r="E380" s="86">
        <v>43100</v>
      </c>
      <c r="F380" s="84">
        <v>476000</v>
      </c>
      <c r="G380" s="84">
        <v>595000</v>
      </c>
      <c r="H380" s="86">
        <v>43100</v>
      </c>
      <c r="I380" s="109">
        <v>102232.67069999999</v>
      </c>
      <c r="J380" s="1"/>
      <c r="K380" s="20"/>
    </row>
    <row r="381" spans="1:11" x14ac:dyDescent="0.25">
      <c r="A381" s="115">
        <v>374</v>
      </c>
      <c r="B381" s="87" t="s">
        <v>653</v>
      </c>
      <c r="C381" s="85" t="str">
        <f>"0-16-375"</f>
        <v>0-16-375</v>
      </c>
      <c r="D381" s="86">
        <v>42353</v>
      </c>
      <c r="E381" s="86">
        <v>43100</v>
      </c>
      <c r="F381" s="84">
        <v>77394.5</v>
      </c>
      <c r="G381" s="84">
        <v>96743.13</v>
      </c>
      <c r="H381" s="86">
        <v>43100</v>
      </c>
      <c r="I381" s="109">
        <v>48422.319299999996</v>
      </c>
      <c r="J381" s="1"/>
      <c r="K381" s="20"/>
    </row>
    <row r="382" spans="1:11" x14ac:dyDescent="0.25">
      <c r="A382" s="115">
        <v>375</v>
      </c>
      <c r="B382" s="87" t="s">
        <v>715</v>
      </c>
      <c r="C382" s="85" t="str">
        <f>"576/15"</f>
        <v>576/15</v>
      </c>
      <c r="D382" s="86">
        <v>42352</v>
      </c>
      <c r="E382" s="86">
        <v>43100</v>
      </c>
      <c r="F382" s="84">
        <v>94116.41</v>
      </c>
      <c r="G382" s="84">
        <v>117645.51</v>
      </c>
      <c r="H382" s="86">
        <v>43100</v>
      </c>
      <c r="I382" s="109">
        <v>405018.76969999995</v>
      </c>
      <c r="J382" s="1"/>
      <c r="K382" s="20"/>
    </row>
    <row r="383" spans="1:11" ht="24" x14ac:dyDescent="0.25">
      <c r="A383" s="115">
        <v>376</v>
      </c>
      <c r="B383" s="87" t="s">
        <v>914</v>
      </c>
      <c r="C383" s="85" t="str">
        <f>"I-01/2016"</f>
        <v>I-01/2016</v>
      </c>
      <c r="D383" s="86">
        <v>42720</v>
      </c>
      <c r="E383" s="86">
        <v>43100</v>
      </c>
      <c r="F383" s="84">
        <v>100073.82</v>
      </c>
      <c r="G383" s="84">
        <v>125092.28</v>
      </c>
      <c r="H383" s="86">
        <v>43100</v>
      </c>
      <c r="I383" s="109">
        <v>505782.01099999994</v>
      </c>
      <c r="J383" s="1"/>
      <c r="K383" s="20"/>
    </row>
    <row r="384" spans="1:11" x14ac:dyDescent="0.25">
      <c r="A384" s="115">
        <v>377</v>
      </c>
      <c r="B384" s="87" t="s">
        <v>515</v>
      </c>
      <c r="C384" s="85" t="str">
        <f>"0-16-572"</f>
        <v>0-16-572</v>
      </c>
      <c r="D384" s="86">
        <v>42354</v>
      </c>
      <c r="E384" s="86">
        <v>43100</v>
      </c>
      <c r="F384" s="84">
        <v>82824.23</v>
      </c>
      <c r="G384" s="84">
        <v>103530.29</v>
      </c>
      <c r="H384" s="86">
        <v>43008</v>
      </c>
      <c r="I384" s="109">
        <v>237244.88989999998</v>
      </c>
      <c r="J384" s="1"/>
      <c r="K384" s="20"/>
    </row>
    <row r="385" spans="1:11" ht="24" x14ac:dyDescent="0.25">
      <c r="A385" s="115">
        <v>378</v>
      </c>
      <c r="B385" s="87" t="s">
        <v>18</v>
      </c>
      <c r="C385" s="85" t="str">
        <f>"SNUG-203-16-0003"</f>
        <v>SNUG-203-16-0003</v>
      </c>
      <c r="D385" s="86">
        <v>42495</v>
      </c>
      <c r="E385" s="86">
        <v>43100</v>
      </c>
      <c r="F385" s="84">
        <v>10344211.720000001</v>
      </c>
      <c r="G385" s="84">
        <v>12930264.65</v>
      </c>
      <c r="H385" s="86">
        <v>43100</v>
      </c>
      <c r="I385" s="109">
        <v>26042229.436199997</v>
      </c>
      <c r="J385" s="1"/>
      <c r="K385" s="20"/>
    </row>
    <row r="386" spans="1:11" x14ac:dyDescent="0.25">
      <c r="A386" s="115">
        <v>379</v>
      </c>
      <c r="B386" s="87" t="s">
        <v>496</v>
      </c>
      <c r="C386" s="85" t="str">
        <f>"O-16-462"</f>
        <v>O-16-462</v>
      </c>
      <c r="D386" s="86">
        <v>42354</v>
      </c>
      <c r="E386" s="86">
        <v>43100</v>
      </c>
      <c r="F386" s="84">
        <v>47168</v>
      </c>
      <c r="G386" s="84">
        <v>58960</v>
      </c>
      <c r="H386" s="86">
        <v>43100</v>
      </c>
      <c r="I386" s="109">
        <v>58766.474900000001</v>
      </c>
      <c r="J386" s="1"/>
      <c r="K386" s="20"/>
    </row>
    <row r="387" spans="1:11" ht="24" x14ac:dyDescent="0.25">
      <c r="A387" s="115">
        <v>380</v>
      </c>
      <c r="B387" s="87" t="s">
        <v>516</v>
      </c>
      <c r="C387" s="85" t="str">
        <f>"388/2015"</f>
        <v>388/2015</v>
      </c>
      <c r="D387" s="86">
        <v>42356</v>
      </c>
      <c r="E387" s="86">
        <v>43100</v>
      </c>
      <c r="F387" s="84">
        <v>18087.47</v>
      </c>
      <c r="G387" s="84">
        <v>22609.34</v>
      </c>
      <c r="H387" s="86">
        <v>43100</v>
      </c>
      <c r="I387" s="109">
        <v>52483.20029999999</v>
      </c>
      <c r="J387" s="1"/>
      <c r="K387" s="20"/>
    </row>
    <row r="388" spans="1:11" x14ac:dyDescent="0.25">
      <c r="A388" s="115">
        <v>381</v>
      </c>
      <c r="B388" s="87" t="s">
        <v>489</v>
      </c>
      <c r="C388" s="85" t="str">
        <f>"O-16-280"</f>
        <v>O-16-280</v>
      </c>
      <c r="D388" s="86">
        <v>42352</v>
      </c>
      <c r="E388" s="86">
        <v>43100</v>
      </c>
      <c r="F388" s="84">
        <v>71432.600000000006</v>
      </c>
      <c r="G388" s="84">
        <v>89290.75</v>
      </c>
      <c r="H388" s="86">
        <v>43100</v>
      </c>
      <c r="I388" s="109">
        <v>83431.041399999987</v>
      </c>
      <c r="J388" s="1"/>
      <c r="K388" s="20"/>
    </row>
    <row r="389" spans="1:11" x14ac:dyDescent="0.25">
      <c r="A389" s="115">
        <v>382</v>
      </c>
      <c r="B389" s="87" t="s">
        <v>667</v>
      </c>
      <c r="C389" s="85" t="str">
        <f>"O-16-332"</f>
        <v>O-16-332</v>
      </c>
      <c r="D389" s="86">
        <v>42353</v>
      </c>
      <c r="E389" s="86">
        <v>43076</v>
      </c>
      <c r="F389" s="84">
        <v>110400</v>
      </c>
      <c r="G389" s="84">
        <v>138000</v>
      </c>
      <c r="H389" s="86">
        <v>43100</v>
      </c>
      <c r="I389" s="109">
        <v>104644.13589999998</v>
      </c>
      <c r="J389" s="1"/>
      <c r="K389" s="20"/>
    </row>
    <row r="390" spans="1:11" ht="24" x14ac:dyDescent="0.25">
      <c r="A390" s="115">
        <v>383</v>
      </c>
      <c r="B390" s="87" t="s">
        <v>738</v>
      </c>
      <c r="C390" s="85" t="str">
        <f>"O-16-390"</f>
        <v>O-16-390</v>
      </c>
      <c r="D390" s="86">
        <v>42353</v>
      </c>
      <c r="E390" s="86">
        <v>43100</v>
      </c>
      <c r="F390" s="84">
        <v>30998.25</v>
      </c>
      <c r="G390" s="84">
        <v>38747.81</v>
      </c>
      <c r="H390" s="86">
        <v>43100</v>
      </c>
      <c r="I390" s="109">
        <v>47385.261799999993</v>
      </c>
      <c r="J390" s="1"/>
      <c r="K390" s="20"/>
    </row>
    <row r="391" spans="1:11" x14ac:dyDescent="0.25">
      <c r="A391" s="115">
        <v>384</v>
      </c>
      <c r="B391" s="87" t="s">
        <v>499</v>
      </c>
      <c r="C391" s="85" t="str">
        <f>"O-16-634"</f>
        <v>O-16-634</v>
      </c>
      <c r="D391" s="86">
        <v>42355</v>
      </c>
      <c r="E391" s="86">
        <v>43100</v>
      </c>
      <c r="F391" s="84">
        <v>225905.36</v>
      </c>
      <c r="G391" s="84">
        <v>282381.7</v>
      </c>
      <c r="H391" s="86">
        <v>43100</v>
      </c>
      <c r="I391" s="109">
        <v>438064.91909999994</v>
      </c>
      <c r="J391" s="1"/>
      <c r="K391" s="20"/>
    </row>
    <row r="392" spans="1:11" ht="24" x14ac:dyDescent="0.25">
      <c r="A392" s="115">
        <v>385</v>
      </c>
      <c r="B392" s="87" t="s">
        <v>915</v>
      </c>
      <c r="C392" s="85" t="str">
        <f>"O-16/184"</f>
        <v>O-16/184</v>
      </c>
      <c r="D392" s="86">
        <v>42510</v>
      </c>
      <c r="E392" s="86">
        <v>43101</v>
      </c>
      <c r="F392" s="84">
        <v>3293.22</v>
      </c>
      <c r="G392" s="84">
        <v>4116.53</v>
      </c>
      <c r="H392" s="86">
        <v>43100</v>
      </c>
      <c r="I392" s="109">
        <v>9412.1654999999992</v>
      </c>
      <c r="J392" s="1"/>
      <c r="K392" s="20"/>
    </row>
    <row r="393" spans="1:11" ht="36" x14ac:dyDescent="0.25">
      <c r="A393" s="115">
        <v>386</v>
      </c>
      <c r="B393" s="87" t="s">
        <v>189</v>
      </c>
      <c r="C393" s="85" t="str">
        <f>"02-C-U-0346/15-90"</f>
        <v>02-C-U-0346/15-90</v>
      </c>
      <c r="D393" s="86">
        <v>42359</v>
      </c>
      <c r="E393" s="86">
        <v>43100</v>
      </c>
      <c r="F393" s="84">
        <v>9821.59</v>
      </c>
      <c r="G393" s="84">
        <v>12276.99</v>
      </c>
      <c r="H393" s="86">
        <v>43100</v>
      </c>
      <c r="I393" s="109">
        <v>25930.030899999998</v>
      </c>
      <c r="J393" s="1"/>
      <c r="K393" s="20"/>
    </row>
    <row r="394" spans="1:11" ht="24" x14ac:dyDescent="0.25">
      <c r="A394" s="115">
        <v>387</v>
      </c>
      <c r="B394" s="87" t="s">
        <v>193</v>
      </c>
      <c r="C394" s="85" t="str">
        <f>"58-14-15-1"</f>
        <v>58-14-15-1</v>
      </c>
      <c r="D394" s="86">
        <v>42370</v>
      </c>
      <c r="E394" s="86">
        <v>43100</v>
      </c>
      <c r="F394" s="84">
        <v>1856071.2</v>
      </c>
      <c r="G394" s="84">
        <v>2320089</v>
      </c>
      <c r="H394" s="86">
        <v>43100</v>
      </c>
      <c r="I394" s="109">
        <v>2009931.3389999999</v>
      </c>
      <c r="J394" s="1"/>
      <c r="K394" s="20"/>
    </row>
    <row r="395" spans="1:11" ht="24" x14ac:dyDescent="0.25">
      <c r="A395" s="115">
        <v>388</v>
      </c>
      <c r="B395" s="87" t="s">
        <v>916</v>
      </c>
      <c r="C395" s="85" t="str">
        <f>"O-16-642"</f>
        <v>O-16-642</v>
      </c>
      <c r="D395" s="86">
        <v>42355</v>
      </c>
      <c r="E395" s="86">
        <v>43100</v>
      </c>
      <c r="F395" s="84">
        <v>13370.94</v>
      </c>
      <c r="G395" s="84">
        <v>16713.68</v>
      </c>
      <c r="H395" s="86">
        <v>43100</v>
      </c>
      <c r="I395" s="109">
        <v>51218.685099999995</v>
      </c>
      <c r="J395" s="1"/>
      <c r="K395" s="20"/>
    </row>
    <row r="396" spans="1:11" x14ac:dyDescent="0.25">
      <c r="A396" s="115">
        <v>389</v>
      </c>
      <c r="B396" s="87" t="s">
        <v>510</v>
      </c>
      <c r="C396" s="85" t="str">
        <f>"O-16-461"</f>
        <v>O-16-461</v>
      </c>
      <c r="D396" s="86">
        <v>42353</v>
      </c>
      <c r="E396" s="86">
        <v>43100</v>
      </c>
      <c r="F396" s="84">
        <v>226469.64</v>
      </c>
      <c r="G396" s="84">
        <v>283087.05</v>
      </c>
      <c r="H396" s="86">
        <v>43100</v>
      </c>
      <c r="I396" s="109">
        <v>227555.61449999997</v>
      </c>
      <c r="J396" s="1"/>
      <c r="K396" s="20"/>
    </row>
    <row r="397" spans="1:11" x14ac:dyDescent="0.25">
      <c r="A397" s="115">
        <v>390</v>
      </c>
      <c r="B397" s="87" t="s">
        <v>604</v>
      </c>
      <c r="C397" s="85" t="str">
        <f>"41-SU-1194/15"</f>
        <v>41-SU-1194/15</v>
      </c>
      <c r="D397" s="86">
        <v>42356</v>
      </c>
      <c r="E397" s="86">
        <v>43100</v>
      </c>
      <c r="F397" s="84">
        <v>48000</v>
      </c>
      <c r="G397" s="84">
        <v>60000</v>
      </c>
      <c r="H397" s="86">
        <v>43100</v>
      </c>
      <c r="I397" s="109">
        <v>79692.15389999999</v>
      </c>
      <c r="J397" s="1"/>
      <c r="K397" s="20"/>
    </row>
    <row r="398" spans="1:11" x14ac:dyDescent="0.25">
      <c r="A398" s="115">
        <v>391</v>
      </c>
      <c r="B398" s="87" t="s">
        <v>498</v>
      </c>
      <c r="C398" s="85" t="str">
        <f>"O-16-338"</f>
        <v>O-16-338</v>
      </c>
      <c r="D398" s="86">
        <v>42353</v>
      </c>
      <c r="E398" s="86">
        <v>43100</v>
      </c>
      <c r="F398" s="84">
        <v>4823.2700000000004</v>
      </c>
      <c r="G398" s="84">
        <v>6029.09</v>
      </c>
      <c r="H398" s="86">
        <v>43100</v>
      </c>
      <c r="I398" s="109">
        <v>16526.792399999998</v>
      </c>
      <c r="J398" s="1"/>
      <c r="K398" s="20"/>
    </row>
    <row r="399" spans="1:11" ht="24" x14ac:dyDescent="0.25">
      <c r="A399" s="115">
        <v>392</v>
      </c>
      <c r="B399" s="87" t="s">
        <v>204</v>
      </c>
      <c r="C399" s="85" t="str">
        <f>"11/2015-15/110-1"</f>
        <v>11/2015-15/110-1</v>
      </c>
      <c r="D399" s="86">
        <v>42356</v>
      </c>
      <c r="E399" s="86">
        <v>43100</v>
      </c>
      <c r="F399" s="84">
        <v>538502.46</v>
      </c>
      <c r="G399" s="84">
        <v>673128.08</v>
      </c>
      <c r="H399" s="86">
        <v>43100</v>
      </c>
      <c r="I399" s="109">
        <v>778272.87780000002</v>
      </c>
      <c r="J399" s="1"/>
      <c r="K399" s="20"/>
    </row>
    <row r="400" spans="1:11" x14ac:dyDescent="0.25">
      <c r="A400" s="115">
        <v>393</v>
      </c>
      <c r="B400" s="87" t="s">
        <v>596</v>
      </c>
      <c r="C400" s="85" t="str">
        <f>"O-16-437"</f>
        <v>O-16-437</v>
      </c>
      <c r="D400" s="86">
        <v>42374</v>
      </c>
      <c r="E400" s="86">
        <v>43101</v>
      </c>
      <c r="F400" s="84">
        <v>1221695.3600000001</v>
      </c>
      <c r="G400" s="84">
        <v>1527119.2</v>
      </c>
      <c r="H400" s="86">
        <v>43100</v>
      </c>
      <c r="I400" s="109">
        <v>1346122.2067</v>
      </c>
      <c r="J400" s="1"/>
      <c r="K400" s="20"/>
    </row>
    <row r="401" spans="1:11" ht="24" x14ac:dyDescent="0.25">
      <c r="A401" s="115">
        <v>394</v>
      </c>
      <c r="B401" s="87" t="s">
        <v>665</v>
      </c>
      <c r="C401" s="85" t="str">
        <f>"DASB 2/2016"</f>
        <v>DASB 2/2016</v>
      </c>
      <c r="D401" s="86">
        <v>42361</v>
      </c>
      <c r="E401" s="86">
        <v>43091</v>
      </c>
      <c r="F401" s="84">
        <v>30000</v>
      </c>
      <c r="G401" s="84">
        <v>37500</v>
      </c>
      <c r="H401" s="86">
        <v>43100</v>
      </c>
      <c r="I401" s="109">
        <v>27211.823799999995</v>
      </c>
      <c r="J401" s="1"/>
      <c r="K401" s="20"/>
    </row>
    <row r="402" spans="1:11" ht="24" x14ac:dyDescent="0.25">
      <c r="A402" s="115">
        <v>395</v>
      </c>
      <c r="B402" s="87" t="s">
        <v>209</v>
      </c>
      <c r="C402" s="85" t="str">
        <f>"920-07/15-13/44"</f>
        <v>920-07/15-13/44</v>
      </c>
      <c r="D402" s="86">
        <v>42361</v>
      </c>
      <c r="E402" s="86">
        <v>43092</v>
      </c>
      <c r="F402" s="84">
        <v>794781.76</v>
      </c>
      <c r="G402" s="84">
        <v>993477.2</v>
      </c>
      <c r="H402" s="86">
        <v>43100</v>
      </c>
      <c r="I402" s="109">
        <v>1323934.9956999999</v>
      </c>
      <c r="J402" s="1"/>
      <c r="K402" s="20"/>
    </row>
    <row r="403" spans="1:11" x14ac:dyDescent="0.25">
      <c r="A403" s="115">
        <v>396</v>
      </c>
      <c r="B403" s="87" t="s">
        <v>278</v>
      </c>
      <c r="C403" s="85" t="str">
        <f>"7/2016"</f>
        <v>7/2016</v>
      </c>
      <c r="D403" s="86">
        <v>42360</v>
      </c>
      <c r="E403" s="86">
        <v>43091</v>
      </c>
      <c r="F403" s="84">
        <v>525348.15</v>
      </c>
      <c r="G403" s="84">
        <v>656685.18999999994</v>
      </c>
      <c r="H403" s="86">
        <v>43091</v>
      </c>
      <c r="I403" s="109">
        <v>2080266.4600999998</v>
      </c>
      <c r="J403" s="1"/>
      <c r="K403" s="20"/>
    </row>
    <row r="404" spans="1:11" ht="24" x14ac:dyDescent="0.25">
      <c r="A404" s="115">
        <v>397</v>
      </c>
      <c r="B404" s="87" t="s">
        <v>917</v>
      </c>
      <c r="C404" s="85" t="str">
        <f>"O-16-171"</f>
        <v>O-16-171</v>
      </c>
      <c r="D404" s="86">
        <v>42360</v>
      </c>
      <c r="E404" s="86">
        <v>43091</v>
      </c>
      <c r="F404" s="84">
        <v>18000</v>
      </c>
      <c r="G404" s="84">
        <v>22500</v>
      </c>
      <c r="H404" s="86">
        <v>43091</v>
      </c>
      <c r="I404" s="109">
        <v>50295.441199999994</v>
      </c>
      <c r="J404" s="1"/>
      <c r="K404" s="20"/>
    </row>
    <row r="405" spans="1:11" ht="36" x14ac:dyDescent="0.25">
      <c r="A405" s="115">
        <v>398</v>
      </c>
      <c r="B405" s="87" t="s">
        <v>185</v>
      </c>
      <c r="C405" s="85" t="str">
        <f>"11/2015 UGOVOR O-16-316"</f>
        <v>11/2015 UGOVOR O-16-316</v>
      </c>
      <c r="D405" s="86">
        <v>42360</v>
      </c>
      <c r="E405" s="86">
        <v>43091</v>
      </c>
      <c r="F405" s="84">
        <v>227392.94</v>
      </c>
      <c r="G405" s="84">
        <v>284241.18</v>
      </c>
      <c r="H405" s="86">
        <v>43100</v>
      </c>
      <c r="I405" s="109">
        <v>906066.95079999999</v>
      </c>
      <c r="J405" s="1"/>
      <c r="K405" s="20"/>
    </row>
    <row r="406" spans="1:11" ht="24" x14ac:dyDescent="0.25">
      <c r="A406" s="115">
        <v>399</v>
      </c>
      <c r="B406" s="87" t="s">
        <v>545</v>
      </c>
      <c r="C406" s="85" t="str">
        <f>"O-16-613"</f>
        <v>O-16-613</v>
      </c>
      <c r="D406" s="86">
        <v>42356</v>
      </c>
      <c r="E406" s="86">
        <v>43087</v>
      </c>
      <c r="F406" s="84">
        <v>110512.77</v>
      </c>
      <c r="G406" s="84">
        <v>138140.96</v>
      </c>
      <c r="H406" s="86">
        <v>43100</v>
      </c>
      <c r="I406" s="109">
        <v>215416.29569999999</v>
      </c>
      <c r="J406" s="1"/>
      <c r="K406" s="20"/>
    </row>
    <row r="407" spans="1:11" x14ac:dyDescent="0.25">
      <c r="A407" s="115">
        <v>400</v>
      </c>
      <c r="B407" s="87" t="s">
        <v>593</v>
      </c>
      <c r="C407" s="85" t="str">
        <f>"O-16-300"</f>
        <v>O-16-300</v>
      </c>
      <c r="D407" s="86">
        <v>42356</v>
      </c>
      <c r="E407" s="86">
        <v>43100</v>
      </c>
      <c r="F407" s="84">
        <v>69984.22</v>
      </c>
      <c r="G407" s="84">
        <v>87480.28</v>
      </c>
      <c r="H407" s="86">
        <v>43100</v>
      </c>
      <c r="I407" s="109">
        <v>192023.04699999996</v>
      </c>
      <c r="J407" s="1"/>
      <c r="K407" s="20"/>
    </row>
    <row r="408" spans="1:11" ht="36" x14ac:dyDescent="0.25">
      <c r="A408" s="115">
        <v>401</v>
      </c>
      <c r="B408" s="87" t="s">
        <v>601</v>
      </c>
      <c r="C408" s="85" t="str">
        <f>"7-137/2015"</f>
        <v>7-137/2015</v>
      </c>
      <c r="D408" s="86">
        <v>42539</v>
      </c>
      <c r="E408" s="86">
        <v>43100</v>
      </c>
      <c r="F408" s="84">
        <v>1650488.18</v>
      </c>
      <c r="G408" s="84">
        <v>2063110.23</v>
      </c>
      <c r="H408" s="86">
        <v>43100</v>
      </c>
      <c r="I408" s="109">
        <v>1860088.9884999997</v>
      </c>
      <c r="J408" s="1"/>
      <c r="K408" s="20"/>
    </row>
    <row r="409" spans="1:11" x14ac:dyDescent="0.25">
      <c r="A409" s="115">
        <v>402</v>
      </c>
      <c r="B409" s="87" t="s">
        <v>514</v>
      </c>
      <c r="C409" s="85" t="str">
        <f>"O-16-400"</f>
        <v>O-16-400</v>
      </c>
      <c r="D409" s="86">
        <v>42355</v>
      </c>
      <c r="E409" s="86">
        <v>43076</v>
      </c>
      <c r="F409" s="84">
        <v>70562.78</v>
      </c>
      <c r="G409" s="84">
        <v>88203.48</v>
      </c>
      <c r="H409" s="86">
        <v>43100</v>
      </c>
      <c r="I409" s="109">
        <v>92040.872999999992</v>
      </c>
      <c r="J409" s="1"/>
      <c r="K409" s="20"/>
    </row>
    <row r="410" spans="1:11" ht="24" x14ac:dyDescent="0.25">
      <c r="A410" s="115">
        <v>403</v>
      </c>
      <c r="B410" s="87" t="s">
        <v>918</v>
      </c>
      <c r="C410" s="85" t="str">
        <f>"O-16-304"</f>
        <v>O-16-304</v>
      </c>
      <c r="D410" s="86">
        <v>42354</v>
      </c>
      <c r="E410" s="86">
        <v>43085</v>
      </c>
      <c r="F410" s="84">
        <v>891012</v>
      </c>
      <c r="G410" s="84">
        <v>1113765</v>
      </c>
      <c r="H410" s="86">
        <v>43100</v>
      </c>
      <c r="I410" s="109">
        <v>1257108.2533999998</v>
      </c>
      <c r="J410" s="1"/>
      <c r="K410" s="20"/>
    </row>
    <row r="411" spans="1:11" ht="24" x14ac:dyDescent="0.25">
      <c r="A411" s="115">
        <v>404</v>
      </c>
      <c r="B411" s="87" t="s">
        <v>557</v>
      </c>
      <c r="C411" s="85" t="str">
        <f>"O-16-344"</f>
        <v>O-16-344</v>
      </c>
      <c r="D411" s="86">
        <v>42353</v>
      </c>
      <c r="E411" s="86">
        <v>43084</v>
      </c>
      <c r="F411" s="84">
        <v>39000</v>
      </c>
      <c r="G411" s="84">
        <v>48750</v>
      </c>
      <c r="H411" s="86">
        <v>43100</v>
      </c>
      <c r="I411" s="109">
        <v>86468.978599999988</v>
      </c>
      <c r="J411" s="1"/>
      <c r="K411" s="20"/>
    </row>
    <row r="412" spans="1:11" x14ac:dyDescent="0.25">
      <c r="A412" s="115">
        <v>405</v>
      </c>
      <c r="B412" s="87" t="s">
        <v>707</v>
      </c>
      <c r="C412" s="85" t="str">
        <f>"E-11/2015"</f>
        <v>E-11/2015</v>
      </c>
      <c r="D412" s="86">
        <v>42345</v>
      </c>
      <c r="E412" s="86">
        <v>43076</v>
      </c>
      <c r="F412" s="84">
        <v>38221.620000000003</v>
      </c>
      <c r="G412" s="84">
        <v>47777.03</v>
      </c>
      <c r="H412" s="86">
        <v>43076</v>
      </c>
      <c r="I412" s="109">
        <v>89172.627899999992</v>
      </c>
      <c r="J412" s="1"/>
      <c r="K412" s="20"/>
    </row>
    <row r="413" spans="1:11" ht="24" x14ac:dyDescent="0.25">
      <c r="A413" s="115">
        <v>406</v>
      </c>
      <c r="B413" s="87" t="s">
        <v>919</v>
      </c>
      <c r="C413" s="85" t="str">
        <f>"EL.ENERGIJA"</f>
        <v>EL.ENERGIJA</v>
      </c>
      <c r="D413" s="86">
        <v>42345</v>
      </c>
      <c r="E413" s="86">
        <v>43076</v>
      </c>
      <c r="F413" s="84">
        <v>158639170</v>
      </c>
      <c r="G413" s="84">
        <v>198298962.5</v>
      </c>
      <c r="H413" s="86">
        <v>43100</v>
      </c>
      <c r="I413" s="109">
        <v>214868.42649999997</v>
      </c>
      <c r="J413" s="1"/>
      <c r="K413" s="20"/>
    </row>
    <row r="414" spans="1:11" x14ac:dyDescent="0.25">
      <c r="A414" s="115">
        <v>407</v>
      </c>
      <c r="B414" s="87" t="s">
        <v>705</v>
      </c>
      <c r="C414" s="85" t="str">
        <f>"O-16-291"</f>
        <v>O-16-291</v>
      </c>
      <c r="D414" s="86">
        <v>42345</v>
      </c>
      <c r="E414" s="86">
        <v>43076</v>
      </c>
      <c r="F414" s="84">
        <v>37297.839999999997</v>
      </c>
      <c r="G414" s="84">
        <v>46622.31</v>
      </c>
      <c r="H414" s="86">
        <v>43100</v>
      </c>
      <c r="I414" s="109">
        <v>334293.3014</v>
      </c>
      <c r="J414" s="1"/>
      <c r="K414" s="20"/>
    </row>
    <row r="415" spans="1:11" x14ac:dyDescent="0.25">
      <c r="A415" s="115">
        <v>408</v>
      </c>
      <c r="B415" s="87" t="s">
        <v>212</v>
      </c>
      <c r="C415" s="85" t="str">
        <f>"11/ 2015"</f>
        <v>11/ 2015</v>
      </c>
      <c r="D415" s="86">
        <v>42655</v>
      </c>
      <c r="E415" s="86">
        <v>43076</v>
      </c>
      <c r="F415" s="84">
        <v>88321.75</v>
      </c>
      <c r="G415" s="84">
        <v>110402.19</v>
      </c>
      <c r="H415" s="86">
        <v>43100</v>
      </c>
      <c r="I415" s="109">
        <v>118650.59889999998</v>
      </c>
      <c r="J415" s="1"/>
      <c r="K415" s="20"/>
    </row>
    <row r="416" spans="1:11" x14ac:dyDescent="0.25">
      <c r="A416" s="115">
        <v>409</v>
      </c>
      <c r="B416" s="87" t="s">
        <v>920</v>
      </c>
      <c r="C416" s="85" t="str">
        <f>"01-15-568"</f>
        <v>01-15-568</v>
      </c>
      <c r="D416" s="86">
        <v>42564</v>
      </c>
      <c r="E416" s="86">
        <v>42743</v>
      </c>
      <c r="F416" s="84">
        <v>3000</v>
      </c>
      <c r="G416" s="84">
        <v>3750</v>
      </c>
      <c r="H416" s="86">
        <v>43025</v>
      </c>
      <c r="I416" s="109">
        <v>53240.469799999992</v>
      </c>
      <c r="J416" s="1"/>
      <c r="K416" s="20"/>
    </row>
    <row r="418" spans="2:10" x14ac:dyDescent="0.25">
      <c r="B418" s="174" t="s">
        <v>2028</v>
      </c>
      <c r="C418" s="174"/>
      <c r="D418" s="174"/>
      <c r="E418" s="174"/>
      <c r="F418" s="174"/>
      <c r="G418" s="174"/>
      <c r="H418" s="174"/>
      <c r="I418" s="174"/>
      <c r="J418" s="174"/>
    </row>
  </sheetData>
  <sheetProtection algorithmName="SHA-512" hashValue="Zuez38KhVZZRc3KAOvqBoKS0+N1QQ0P0qVP59rYD3QOibbOw941DM0H7lvYmg1ZbbFsjbtYaaNG/dJQ2n8b8Ng==" saltValue="c7yDTY20+2BXmbWul8KvUw==" spinCount="100000" sheet="1" objects="1" scenarios="1"/>
  <mergeCells count="7">
    <mergeCell ref="B418:J418"/>
    <mergeCell ref="A1:N1"/>
    <mergeCell ref="D2:E2"/>
    <mergeCell ref="D3:E3"/>
    <mergeCell ref="N3:N4"/>
    <mergeCell ref="A4:L4"/>
    <mergeCell ref="A6:J6"/>
  </mergeCells>
  <pageMargins left="0.23622047244094491" right="0.23622047244094491" top="0.98425196850393704" bottom="0.59055118110236227" header="0.31496062992125984" footer="0.31496062992125984"/>
  <pageSetup scale="69" fitToHeight="0" orientation="landscape" r:id="rId1"/>
  <headerFooter>
    <oddHeader>&amp;L&amp;G&amp;CRegistar okvirnih sporazuma i ugovora za 2016. godinu 
za predmete nabave iz nadležnosti Središnjeg državnog ureda za središnju javnu nabavu</oddHeader>
    <oddFooter>&amp;L&amp;D&amp;C &amp;A&amp;R&amp;P/&amp;N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N240"/>
  <sheetViews>
    <sheetView view="pageLayout" zoomScaleNormal="100" workbookViewId="0">
      <selection sqref="A1:N1"/>
    </sheetView>
  </sheetViews>
  <sheetFormatPr defaultRowHeight="15" x14ac:dyDescent="0.25"/>
  <cols>
    <col min="1" max="1" width="4.85546875" customWidth="1"/>
    <col min="2" max="2" width="26.140625" customWidth="1"/>
    <col min="3" max="3" width="12" customWidth="1"/>
    <col min="4" max="4" width="13.42578125" customWidth="1"/>
    <col min="5" max="5" width="13.7109375" customWidth="1"/>
    <col min="6" max="6" width="15.28515625" customWidth="1"/>
    <col min="7" max="10" width="13.5703125" customWidth="1"/>
    <col min="11" max="13" width="14.28515625" customWidth="1"/>
    <col min="14" max="14" width="11.42578125" customWidth="1"/>
  </cols>
  <sheetData>
    <row r="1" spans="1:14" x14ac:dyDescent="0.25">
      <c r="A1" s="175" t="s">
        <v>181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36" x14ac:dyDescent="0.25">
      <c r="A2" s="53" t="s">
        <v>0</v>
      </c>
      <c r="B2" s="54" t="s">
        <v>1</v>
      </c>
      <c r="C2" s="54" t="s">
        <v>3</v>
      </c>
      <c r="D2" s="178" t="s">
        <v>171</v>
      </c>
      <c r="E2" s="178"/>
      <c r="F2" s="54" t="s">
        <v>166</v>
      </c>
      <c r="G2" s="54" t="s">
        <v>170</v>
      </c>
      <c r="H2" s="54" t="s">
        <v>167</v>
      </c>
      <c r="I2" s="54" t="s">
        <v>4</v>
      </c>
      <c r="J2" s="54" t="s">
        <v>5</v>
      </c>
      <c r="K2" s="54" t="s">
        <v>2</v>
      </c>
      <c r="L2" s="54" t="s">
        <v>172</v>
      </c>
      <c r="M2" s="54" t="s">
        <v>173</v>
      </c>
      <c r="N2" s="54" t="s">
        <v>169</v>
      </c>
    </row>
    <row r="3" spans="1:14" ht="22.5" customHeight="1" x14ac:dyDescent="0.25">
      <c r="A3" s="1">
        <v>1</v>
      </c>
      <c r="B3" s="4" t="s">
        <v>130</v>
      </c>
      <c r="C3" s="14" t="s">
        <v>131</v>
      </c>
      <c r="D3" s="187" t="s">
        <v>1032</v>
      </c>
      <c r="E3" s="188"/>
      <c r="F3" s="38" t="s">
        <v>151</v>
      </c>
      <c r="G3" s="38" t="s">
        <v>1004</v>
      </c>
      <c r="H3" s="1" t="s">
        <v>15</v>
      </c>
      <c r="I3" s="15">
        <v>42863</v>
      </c>
      <c r="J3" s="1" t="s">
        <v>51</v>
      </c>
      <c r="K3" s="8">
        <v>76908163.230000004</v>
      </c>
      <c r="L3" s="8">
        <f>K3*0.25</f>
        <v>19227040.807500001</v>
      </c>
      <c r="M3" s="8">
        <f>K3+L3</f>
        <v>96135204.037500009</v>
      </c>
      <c r="N3" s="176"/>
    </row>
    <row r="4" spans="1:14" ht="15" customHeight="1" x14ac:dyDescent="0.25">
      <c r="A4" s="177" t="s">
        <v>1012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8">
        <v>9114728.4900000002</v>
      </c>
      <c r="N4" s="176"/>
    </row>
    <row r="5" spans="1:14" ht="7.5" customHeight="1" x14ac:dyDescent="0.25">
      <c r="L5" s="47"/>
    </row>
    <row r="6" spans="1:14" ht="15" customHeight="1" x14ac:dyDescent="0.25">
      <c r="A6" s="175" t="s">
        <v>12</v>
      </c>
      <c r="B6" s="175"/>
      <c r="C6" s="175"/>
      <c r="D6" s="175"/>
      <c r="E6" s="175"/>
      <c r="F6" s="175"/>
      <c r="G6" s="175"/>
      <c r="H6" s="175"/>
      <c r="I6" s="175"/>
      <c r="J6" s="175"/>
      <c r="K6" s="49"/>
      <c r="L6" s="49"/>
    </row>
    <row r="7" spans="1:14" ht="48" customHeight="1" x14ac:dyDescent="0.25">
      <c r="A7" s="2" t="s">
        <v>0</v>
      </c>
      <c r="B7" s="3" t="s">
        <v>7</v>
      </c>
      <c r="C7" s="3" t="s">
        <v>6</v>
      </c>
      <c r="D7" s="3" t="s">
        <v>8</v>
      </c>
      <c r="E7" s="3" t="s">
        <v>168</v>
      </c>
      <c r="F7" s="3" t="s">
        <v>174</v>
      </c>
      <c r="G7" s="3" t="s">
        <v>175</v>
      </c>
      <c r="H7" s="3" t="s">
        <v>9</v>
      </c>
      <c r="I7" s="3" t="s">
        <v>176</v>
      </c>
      <c r="J7" s="3" t="s">
        <v>10</v>
      </c>
      <c r="K7" s="48"/>
      <c r="L7" s="48"/>
      <c r="M7" s="48"/>
    </row>
    <row r="8" spans="1:14" ht="36" x14ac:dyDescent="0.25">
      <c r="A8" s="38">
        <v>1</v>
      </c>
      <c r="B8" s="60" t="s">
        <v>708</v>
      </c>
      <c r="C8" s="10" t="str">
        <f>"MP-2158"</f>
        <v>MP-2158</v>
      </c>
      <c r="D8" s="56">
        <v>43070</v>
      </c>
      <c r="E8" s="56">
        <v>43799</v>
      </c>
      <c r="F8" s="8">
        <v>107245.62</v>
      </c>
      <c r="G8" s="8">
        <v>134057.03</v>
      </c>
      <c r="H8" s="56">
        <v>43100</v>
      </c>
      <c r="I8" s="24">
        <v>13192.75</v>
      </c>
      <c r="J8" s="77"/>
    </row>
    <row r="9" spans="1:14" ht="36" x14ac:dyDescent="0.25">
      <c r="A9" s="115">
        <v>2</v>
      </c>
      <c r="B9" s="60" t="s">
        <v>769</v>
      </c>
      <c r="C9" s="10" t="str">
        <f>"3839/2017"</f>
        <v>3839/2017</v>
      </c>
      <c r="D9" s="56">
        <v>43083</v>
      </c>
      <c r="E9" s="56">
        <v>43646</v>
      </c>
      <c r="F9" s="8">
        <v>350668</v>
      </c>
      <c r="G9" s="8">
        <v>438335</v>
      </c>
      <c r="H9" s="56">
        <v>43100</v>
      </c>
      <c r="I9" s="24">
        <v>44875.5</v>
      </c>
      <c r="J9" s="77"/>
    </row>
    <row r="10" spans="1:14" ht="24" x14ac:dyDescent="0.25">
      <c r="A10" s="115">
        <v>3</v>
      </c>
      <c r="B10" s="60" t="s">
        <v>195</v>
      </c>
      <c r="C10" s="10" t="str">
        <f>"511-10-05-02-335/2018"</f>
        <v>511-10-05-02-335/2018</v>
      </c>
      <c r="D10" s="56">
        <v>43100</v>
      </c>
      <c r="E10" s="56">
        <v>43434</v>
      </c>
      <c r="F10" s="8">
        <v>35909.379999999997</v>
      </c>
      <c r="G10" s="8">
        <v>44886.73</v>
      </c>
      <c r="H10" s="56">
        <v>43100</v>
      </c>
      <c r="I10" s="24">
        <v>9711.0249999999996</v>
      </c>
      <c r="J10" s="77"/>
    </row>
    <row r="11" spans="1:14" ht="36" x14ac:dyDescent="0.25">
      <c r="A11" s="115">
        <v>4</v>
      </c>
      <c r="B11" s="60" t="s">
        <v>519</v>
      </c>
      <c r="C11" s="10" t="str">
        <f>"406-09/17-01/01,251-69-05-17-6"</f>
        <v>406-09/17-01/01,251-69-05-17-6</v>
      </c>
      <c r="D11" s="56">
        <v>43070</v>
      </c>
      <c r="E11" s="56">
        <v>43799</v>
      </c>
      <c r="F11" s="8">
        <v>973338.28</v>
      </c>
      <c r="G11" s="8">
        <v>1216672.8500000001</v>
      </c>
      <c r="H11" s="56">
        <v>43100</v>
      </c>
      <c r="I11" s="24">
        <v>88103.287500000006</v>
      </c>
      <c r="J11" s="77"/>
    </row>
    <row r="12" spans="1:14" ht="24" x14ac:dyDescent="0.25">
      <c r="A12" s="115">
        <v>5</v>
      </c>
      <c r="B12" s="60" t="s">
        <v>195</v>
      </c>
      <c r="C12" s="10" t="str">
        <f>"511-16-04-2-UG-10-2017"</f>
        <v>511-16-04-2-UG-10-2017</v>
      </c>
      <c r="D12" s="56">
        <v>43069</v>
      </c>
      <c r="E12" s="56">
        <v>43434</v>
      </c>
      <c r="F12" s="8">
        <v>64620</v>
      </c>
      <c r="G12" s="8">
        <v>80775</v>
      </c>
      <c r="H12" s="56">
        <v>43100</v>
      </c>
      <c r="I12" s="24">
        <v>10431.275000000001</v>
      </c>
      <c r="J12" s="77"/>
    </row>
    <row r="13" spans="1:14" ht="36" x14ac:dyDescent="0.25">
      <c r="A13" s="115">
        <v>6</v>
      </c>
      <c r="B13" s="60" t="s">
        <v>631</v>
      </c>
      <c r="C13" s="10" t="str">
        <f>"406-09/18/-47/1"</f>
        <v>406-09/18/-47/1</v>
      </c>
      <c r="D13" s="56">
        <v>43070</v>
      </c>
      <c r="E13" s="56">
        <v>43799</v>
      </c>
      <c r="F13" s="8">
        <v>40145</v>
      </c>
      <c r="G13" s="8">
        <v>50181.25</v>
      </c>
      <c r="H13" s="56">
        <v>43100</v>
      </c>
      <c r="I13" s="24">
        <v>1977.5125</v>
      </c>
      <c r="J13" s="77"/>
    </row>
    <row r="14" spans="1:14" ht="22.5" customHeight="1" x14ac:dyDescent="0.25">
      <c r="A14" s="115">
        <v>7</v>
      </c>
      <c r="B14" s="92" t="s">
        <v>536</v>
      </c>
      <c r="C14" s="93" t="str">
        <f>"U-0147-2017-149"</f>
        <v>U-0147-2017-149</v>
      </c>
      <c r="D14" s="94">
        <v>43042</v>
      </c>
      <c r="E14" s="94">
        <v>43708</v>
      </c>
      <c r="F14" s="95">
        <v>55813</v>
      </c>
      <c r="G14" s="95">
        <v>69766.25</v>
      </c>
      <c r="H14" s="94">
        <v>43100</v>
      </c>
      <c r="I14" s="24">
        <v>16030</v>
      </c>
      <c r="J14" s="77"/>
    </row>
    <row r="15" spans="1:14" ht="48" x14ac:dyDescent="0.25">
      <c r="A15" s="115">
        <v>8</v>
      </c>
      <c r="B15" s="60" t="s">
        <v>904</v>
      </c>
      <c r="C15" s="10" t="str">
        <f>"123-2017"</f>
        <v>123-2017</v>
      </c>
      <c r="D15" s="56">
        <v>43067</v>
      </c>
      <c r="E15" s="56">
        <v>43769</v>
      </c>
      <c r="F15" s="8">
        <v>202051.02</v>
      </c>
      <c r="G15" s="8">
        <v>252563.78</v>
      </c>
      <c r="H15" s="56">
        <v>43100</v>
      </c>
      <c r="I15" s="24">
        <v>39385.875</v>
      </c>
      <c r="J15" s="77"/>
    </row>
    <row r="16" spans="1:14" ht="24" x14ac:dyDescent="0.25">
      <c r="A16" s="115">
        <v>9</v>
      </c>
      <c r="B16" s="60" t="s">
        <v>541</v>
      </c>
      <c r="C16" s="10" t="str">
        <f>"2137.78.17/183"</f>
        <v>2137.78.17/183</v>
      </c>
      <c r="D16" s="56">
        <v>43063</v>
      </c>
      <c r="E16" s="56">
        <v>43769</v>
      </c>
      <c r="F16" s="8">
        <v>161792</v>
      </c>
      <c r="G16" s="8">
        <v>202240</v>
      </c>
      <c r="H16" s="56">
        <v>43100</v>
      </c>
      <c r="I16" s="24">
        <v>27416.25</v>
      </c>
      <c r="J16" s="77"/>
    </row>
    <row r="17" spans="1:11" ht="24" x14ac:dyDescent="0.25">
      <c r="A17" s="115">
        <v>10</v>
      </c>
      <c r="B17" s="60" t="s">
        <v>774</v>
      </c>
      <c r="C17" s="10" t="str">
        <f>"VELEUČILIŠTE U KARLOVCU"</f>
        <v>VELEUČILIŠTE U KARLOVCU</v>
      </c>
      <c r="D17" s="56">
        <v>43012</v>
      </c>
      <c r="E17" s="56">
        <v>43768</v>
      </c>
      <c r="F17" s="8">
        <v>0</v>
      </c>
      <c r="G17" s="8">
        <v>0</v>
      </c>
      <c r="H17" s="56">
        <v>43100</v>
      </c>
      <c r="I17" s="24">
        <v>37342.4375</v>
      </c>
      <c r="J17" s="77"/>
    </row>
    <row r="18" spans="1:11" ht="24" x14ac:dyDescent="0.25">
      <c r="A18" s="115">
        <v>11</v>
      </c>
      <c r="B18" s="60" t="s">
        <v>201</v>
      </c>
      <c r="C18" s="10" t="str">
        <f>"7/2016-M-UGOVOR"</f>
        <v>7/2016-M-UGOVOR</v>
      </c>
      <c r="D18" s="56">
        <v>43068</v>
      </c>
      <c r="E18" s="56">
        <v>43830</v>
      </c>
      <c r="F18" s="8">
        <v>1046068.03</v>
      </c>
      <c r="G18" s="8">
        <v>1307585.04</v>
      </c>
      <c r="H18" s="56">
        <v>43100</v>
      </c>
      <c r="I18" s="24">
        <v>75366.324999999997</v>
      </c>
      <c r="J18" s="77"/>
    </row>
    <row r="19" spans="1:11" ht="24" x14ac:dyDescent="0.25">
      <c r="A19" s="115">
        <v>12</v>
      </c>
      <c r="B19" s="60" t="s">
        <v>816</v>
      </c>
      <c r="C19" s="10" t="str">
        <f>"406-01/16-02/4"</f>
        <v>406-01/16-02/4</v>
      </c>
      <c r="D19" s="56">
        <v>43108</v>
      </c>
      <c r="E19" s="56">
        <v>43769</v>
      </c>
      <c r="F19" s="8">
        <v>16948.36</v>
      </c>
      <c r="G19" s="8">
        <v>21185.45</v>
      </c>
      <c r="H19" s="162"/>
      <c r="I19" s="167">
        <v>0</v>
      </c>
      <c r="J19" s="77"/>
    </row>
    <row r="20" spans="1:11" ht="24" x14ac:dyDescent="0.25">
      <c r="A20" s="115">
        <v>13</v>
      </c>
      <c r="B20" s="60" t="s">
        <v>200</v>
      </c>
      <c r="C20" s="10" t="str">
        <f>"533-27-17-0008"</f>
        <v>533-27-17-0008</v>
      </c>
      <c r="D20" s="56">
        <v>43035</v>
      </c>
      <c r="E20" s="56">
        <v>43100</v>
      </c>
      <c r="F20" s="8">
        <v>391533.45</v>
      </c>
      <c r="G20" s="8">
        <v>489416.81</v>
      </c>
      <c r="H20" s="56">
        <v>43100</v>
      </c>
      <c r="I20" s="24">
        <v>479323.82500000001</v>
      </c>
      <c r="J20" s="77"/>
    </row>
    <row r="21" spans="1:11" x14ac:dyDescent="0.25">
      <c r="A21" s="115">
        <v>14</v>
      </c>
      <c r="B21" s="60" t="s">
        <v>885</v>
      </c>
      <c r="C21" s="10" t="str">
        <f>"7/2016-MHZ"</f>
        <v>7/2016-MHZ</v>
      </c>
      <c r="D21" s="56">
        <v>43027</v>
      </c>
      <c r="E21" s="56">
        <v>43768</v>
      </c>
      <c r="F21" s="8">
        <v>323322.53999999998</v>
      </c>
      <c r="G21" s="8">
        <v>404128.19</v>
      </c>
      <c r="H21" s="56">
        <v>43100</v>
      </c>
      <c r="I21" s="24">
        <v>75248.3</v>
      </c>
      <c r="J21" s="77"/>
    </row>
    <row r="22" spans="1:11" x14ac:dyDescent="0.25">
      <c r="A22" s="115">
        <v>15</v>
      </c>
      <c r="B22" s="60" t="s">
        <v>668</v>
      </c>
      <c r="C22" s="10" t="str">
        <f>"17-SU-353/17"</f>
        <v>17-SU-353/17</v>
      </c>
      <c r="D22" s="56">
        <v>43040</v>
      </c>
      <c r="E22" s="56">
        <v>43769</v>
      </c>
      <c r="F22" s="8">
        <v>95729</v>
      </c>
      <c r="G22" s="8">
        <v>119661.25</v>
      </c>
      <c r="H22" s="56">
        <v>43100</v>
      </c>
      <c r="I22" s="24">
        <v>24777.975000000002</v>
      </c>
      <c r="J22" s="77"/>
    </row>
    <row r="23" spans="1:11" ht="24" x14ac:dyDescent="0.25">
      <c r="A23" s="115">
        <v>16</v>
      </c>
      <c r="B23" s="60" t="s">
        <v>508</v>
      </c>
      <c r="C23" s="10" t="str">
        <f>"03-6191/1-2017"</f>
        <v>03-6191/1-2017</v>
      </c>
      <c r="D23" s="56">
        <v>43010</v>
      </c>
      <c r="E23" s="56">
        <v>43375</v>
      </c>
      <c r="F23" s="8">
        <v>1352390.8</v>
      </c>
      <c r="G23" s="8">
        <v>1690488.5</v>
      </c>
      <c r="H23" s="56">
        <v>43100</v>
      </c>
      <c r="I23" s="24">
        <v>339646.88750000001</v>
      </c>
      <c r="J23" s="77"/>
    </row>
    <row r="24" spans="1:11" ht="24" x14ac:dyDescent="0.25">
      <c r="A24" s="115">
        <v>17</v>
      </c>
      <c r="B24" s="60" t="s">
        <v>210</v>
      </c>
      <c r="C24" s="10" t="str">
        <f>"PU - 406-01/17-01/142, 17-5"</f>
        <v>PU - 406-01/17-01/142, 17-5</v>
      </c>
      <c r="D24" s="56">
        <v>43035</v>
      </c>
      <c r="E24" s="56">
        <v>43374</v>
      </c>
      <c r="F24" s="8">
        <v>1050298.5</v>
      </c>
      <c r="G24" s="8">
        <v>1312873.1299999999</v>
      </c>
      <c r="H24" s="56">
        <v>43100</v>
      </c>
      <c r="I24" s="24">
        <v>153624.07499999998</v>
      </c>
      <c r="J24" s="77"/>
    </row>
    <row r="25" spans="1:11" ht="24" x14ac:dyDescent="0.25">
      <c r="A25" s="115">
        <v>18</v>
      </c>
      <c r="B25" s="60" t="s">
        <v>903</v>
      </c>
      <c r="C25" s="10" t="str">
        <f>"406-01/17-01/04"</f>
        <v>406-01/17-01/04</v>
      </c>
      <c r="D25" s="56">
        <v>43003</v>
      </c>
      <c r="E25" s="56">
        <v>43738</v>
      </c>
      <c r="F25" s="8">
        <v>7475.48</v>
      </c>
      <c r="G25" s="8">
        <v>9344.35</v>
      </c>
      <c r="H25" s="56">
        <v>43100</v>
      </c>
      <c r="I25" s="24">
        <v>19127.662499999999</v>
      </c>
      <c r="J25" s="77"/>
    </row>
    <row r="26" spans="1:11" ht="24" x14ac:dyDescent="0.25">
      <c r="A26" s="115">
        <v>19</v>
      </c>
      <c r="B26" s="60" t="s">
        <v>740</v>
      </c>
      <c r="C26" s="10" t="str">
        <f>"10/2017"</f>
        <v>10/2017</v>
      </c>
      <c r="D26" s="56">
        <v>43014</v>
      </c>
      <c r="E26" s="56">
        <v>43738</v>
      </c>
      <c r="F26" s="8">
        <v>17345.3</v>
      </c>
      <c r="G26" s="8">
        <v>22281.63</v>
      </c>
      <c r="H26" s="56">
        <v>43100</v>
      </c>
      <c r="I26" s="24">
        <v>4235.375</v>
      </c>
      <c r="J26" s="77"/>
    </row>
    <row r="27" spans="1:11" ht="24" x14ac:dyDescent="0.25">
      <c r="A27" s="115">
        <v>20</v>
      </c>
      <c r="B27" s="60" t="s">
        <v>563</v>
      </c>
      <c r="C27" s="10" t="str">
        <f>"P-2017"</f>
        <v>P-2017</v>
      </c>
      <c r="D27" s="56">
        <v>43005</v>
      </c>
      <c r="E27" s="56">
        <v>43017</v>
      </c>
      <c r="F27" s="8">
        <v>403368</v>
      </c>
      <c r="G27" s="8">
        <v>504210</v>
      </c>
      <c r="H27" s="56">
        <v>43100</v>
      </c>
      <c r="I27" s="24">
        <v>162520.86249999999</v>
      </c>
      <c r="J27" s="77"/>
      <c r="K27" s="48"/>
    </row>
    <row r="28" spans="1:11" ht="24" x14ac:dyDescent="0.25">
      <c r="A28" s="115">
        <v>21</v>
      </c>
      <c r="B28" s="60" t="s">
        <v>482</v>
      </c>
      <c r="C28" s="10" t="str">
        <f>"41 SU-1437/17-GRUPA 23"</f>
        <v>41 SU-1437/17-GRUPA 23</v>
      </c>
      <c r="D28" s="56">
        <v>43012</v>
      </c>
      <c r="E28" s="56">
        <v>43738</v>
      </c>
      <c r="F28" s="8">
        <v>27426</v>
      </c>
      <c r="G28" s="8">
        <v>34282.5</v>
      </c>
      <c r="H28" s="56">
        <v>43100</v>
      </c>
      <c r="I28" s="24">
        <v>3616.2625000000003</v>
      </c>
      <c r="J28" s="77"/>
    </row>
    <row r="29" spans="1:11" x14ac:dyDescent="0.25">
      <c r="A29" s="115">
        <v>22</v>
      </c>
      <c r="B29" s="60" t="s">
        <v>709</v>
      </c>
      <c r="C29" s="10" t="str">
        <f>"PLIN 1"</f>
        <v>PLIN 1</v>
      </c>
      <c r="D29" s="56">
        <v>43010</v>
      </c>
      <c r="E29" s="56">
        <v>43738</v>
      </c>
      <c r="F29" s="8">
        <v>19803.59</v>
      </c>
      <c r="G29" s="8">
        <v>24754.49</v>
      </c>
      <c r="H29" s="56">
        <v>43100</v>
      </c>
      <c r="I29" s="24">
        <v>9317.5375000000004</v>
      </c>
      <c r="J29" s="77"/>
    </row>
    <row r="30" spans="1:11" ht="36" x14ac:dyDescent="0.25">
      <c r="A30" s="115">
        <v>23</v>
      </c>
      <c r="B30" s="60" t="s">
        <v>732</v>
      </c>
      <c r="C30" s="10" t="str">
        <f>"255/2017 MEĐIMURJE-PLIN D.O.O."</f>
        <v>255/2017 MEĐIMURJE-PLIN D.O.O.</v>
      </c>
      <c r="D30" s="56">
        <v>43013</v>
      </c>
      <c r="E30" s="56">
        <v>43738</v>
      </c>
      <c r="F30" s="8">
        <v>51178.38</v>
      </c>
      <c r="G30" s="8">
        <v>63972.98</v>
      </c>
      <c r="H30" s="56">
        <v>43100</v>
      </c>
      <c r="I30" s="24">
        <v>12701.2875</v>
      </c>
      <c r="J30" s="77"/>
    </row>
    <row r="31" spans="1:11" ht="24" x14ac:dyDescent="0.25">
      <c r="A31" s="115">
        <v>24</v>
      </c>
      <c r="B31" s="60" t="s">
        <v>491</v>
      </c>
      <c r="C31" s="10" t="str">
        <f>"MEĐIMURJE-PLIN,D.O.O."</f>
        <v>MEĐIMURJE-PLIN,D.O.O.</v>
      </c>
      <c r="D31" s="56">
        <v>42999</v>
      </c>
      <c r="E31" s="56">
        <v>43738</v>
      </c>
      <c r="F31" s="8">
        <v>6111.89</v>
      </c>
      <c r="G31" s="8">
        <v>7639.86</v>
      </c>
      <c r="H31" s="56">
        <v>43100</v>
      </c>
      <c r="I31" s="24">
        <v>1395.425</v>
      </c>
      <c r="J31" s="77"/>
    </row>
    <row r="32" spans="1:11" ht="24" x14ac:dyDescent="0.25">
      <c r="A32" s="115">
        <v>25</v>
      </c>
      <c r="B32" s="60" t="s">
        <v>846</v>
      </c>
      <c r="C32" s="10" t="str">
        <f>"PLIN"</f>
        <v>PLIN</v>
      </c>
      <c r="D32" s="56">
        <v>43009</v>
      </c>
      <c r="E32" s="56">
        <v>43738</v>
      </c>
      <c r="F32" s="8">
        <v>601555.19999999995</v>
      </c>
      <c r="G32" s="8">
        <v>751944</v>
      </c>
      <c r="H32" s="56">
        <v>43100</v>
      </c>
      <c r="I32" s="24">
        <v>76218.75</v>
      </c>
      <c r="J32" s="77"/>
    </row>
    <row r="33" spans="1:11" ht="36" x14ac:dyDescent="0.25">
      <c r="A33" s="115">
        <v>26</v>
      </c>
      <c r="B33" s="60" t="s">
        <v>691</v>
      </c>
      <c r="C33" s="10" t="str">
        <f>"UG.O OP.PR.PLINOM GRUPA 23"</f>
        <v>UG.O OP.PR.PLINOM GRUPA 23</v>
      </c>
      <c r="D33" s="56">
        <v>43028</v>
      </c>
      <c r="E33" s="56">
        <v>43738</v>
      </c>
      <c r="F33" s="8">
        <v>8584</v>
      </c>
      <c r="G33" s="8">
        <v>10730</v>
      </c>
      <c r="H33" s="56">
        <v>43100</v>
      </c>
      <c r="I33" s="24">
        <v>228.8125</v>
      </c>
      <c r="J33" s="77"/>
    </row>
    <row r="34" spans="1:11" ht="36" x14ac:dyDescent="0.25">
      <c r="A34" s="115">
        <v>27</v>
      </c>
      <c r="B34" s="60" t="s">
        <v>921</v>
      </c>
      <c r="C34" s="10" t="str">
        <f>"900-06/17-03/20 251-63-01/01-1"</f>
        <v>900-06/17-03/20 251-63-01/01-1</v>
      </c>
      <c r="D34" s="56">
        <v>43033</v>
      </c>
      <c r="E34" s="56">
        <v>43738</v>
      </c>
      <c r="F34" s="8">
        <v>46346.559999999998</v>
      </c>
      <c r="G34" s="8">
        <v>57933.2</v>
      </c>
      <c r="H34" s="56">
        <v>43100</v>
      </c>
      <c r="I34" s="24">
        <v>5431.4125000000004</v>
      </c>
      <c r="J34" s="77"/>
    </row>
    <row r="35" spans="1:11" x14ac:dyDescent="0.25">
      <c r="A35" s="115">
        <v>28</v>
      </c>
      <c r="B35" s="60" t="s">
        <v>526</v>
      </c>
      <c r="C35" s="10" t="str">
        <f>"BR.. 37/17"</f>
        <v>BR.. 37/17</v>
      </c>
      <c r="D35" s="56">
        <v>43017</v>
      </c>
      <c r="E35" s="56">
        <v>43738</v>
      </c>
      <c r="F35" s="8">
        <v>49772.4</v>
      </c>
      <c r="G35" s="8">
        <v>62215.5</v>
      </c>
      <c r="H35" s="56">
        <v>43100</v>
      </c>
      <c r="I35" s="24">
        <v>5683.25</v>
      </c>
      <c r="J35" s="77"/>
    </row>
    <row r="36" spans="1:11" ht="24" x14ac:dyDescent="0.25">
      <c r="A36" s="115">
        <v>29</v>
      </c>
      <c r="B36" s="60" t="s">
        <v>544</v>
      </c>
      <c r="C36" s="10" t="str">
        <f>"16/2017"</f>
        <v>16/2017</v>
      </c>
      <c r="D36" s="56">
        <v>43039</v>
      </c>
      <c r="E36" s="56">
        <v>43008</v>
      </c>
      <c r="F36" s="8">
        <v>928934.48</v>
      </c>
      <c r="G36" s="8">
        <v>1161168.1000000001</v>
      </c>
      <c r="H36" s="56">
        <v>43100</v>
      </c>
      <c r="I36" s="24">
        <v>216909.02499999999</v>
      </c>
      <c r="J36" s="77"/>
    </row>
    <row r="37" spans="1:11" ht="24" x14ac:dyDescent="0.25">
      <c r="A37" s="115">
        <v>30</v>
      </c>
      <c r="B37" s="60" t="s">
        <v>809</v>
      </c>
      <c r="C37" s="10" t="str">
        <f>"238/04-94-17-3890/01"</f>
        <v>238/04-94-17-3890/01</v>
      </c>
      <c r="D37" s="56">
        <v>43032</v>
      </c>
      <c r="E37" s="56">
        <v>43738</v>
      </c>
      <c r="F37" s="8">
        <v>52421.7</v>
      </c>
      <c r="G37" s="8">
        <v>65527.13</v>
      </c>
      <c r="H37" s="56">
        <v>43100</v>
      </c>
      <c r="I37" s="24">
        <v>7821.1625000000004</v>
      </c>
      <c r="J37" s="77"/>
    </row>
    <row r="38" spans="1:11" ht="24" x14ac:dyDescent="0.25">
      <c r="A38" s="115">
        <v>31</v>
      </c>
      <c r="B38" s="60" t="s">
        <v>623</v>
      </c>
      <c r="C38" s="10" t="str">
        <f>"410-200-800/17"</f>
        <v>410-200-800/17</v>
      </c>
      <c r="D38" s="56">
        <v>43054</v>
      </c>
      <c r="E38" s="56">
        <v>43738</v>
      </c>
      <c r="F38" s="8">
        <v>27158.52</v>
      </c>
      <c r="G38" s="8">
        <v>33948.15</v>
      </c>
      <c r="H38" s="59"/>
      <c r="I38" s="24">
        <v>0</v>
      </c>
      <c r="J38" s="77"/>
    </row>
    <row r="39" spans="1:11" ht="24" x14ac:dyDescent="0.25">
      <c r="A39" s="115">
        <v>32</v>
      </c>
      <c r="B39" s="60" t="s">
        <v>696</v>
      </c>
      <c r="C39" s="10" t="str">
        <f>"17 SU-369/2017"</f>
        <v>17 SU-369/2017</v>
      </c>
      <c r="D39" s="56">
        <v>43059</v>
      </c>
      <c r="E39" s="56">
        <v>43374</v>
      </c>
      <c r="F39" s="8">
        <v>47564.5</v>
      </c>
      <c r="G39" s="8">
        <v>59343.13</v>
      </c>
      <c r="H39" s="56">
        <v>43100</v>
      </c>
      <c r="I39" s="24">
        <v>19196.849999999999</v>
      </c>
      <c r="J39" s="77"/>
    </row>
    <row r="40" spans="1:11" ht="15" customHeight="1" x14ac:dyDescent="0.25">
      <c r="A40" s="115">
        <v>33</v>
      </c>
      <c r="B40" s="116" t="s">
        <v>632</v>
      </c>
      <c r="C40" s="117" t="str">
        <f>"44/5/17"</f>
        <v>44/5/17</v>
      </c>
      <c r="D40" s="118">
        <v>43061</v>
      </c>
      <c r="E40" s="118">
        <v>43373</v>
      </c>
      <c r="F40" s="121">
        <v>23213.96</v>
      </c>
      <c r="G40" s="121">
        <v>29017.45</v>
      </c>
      <c r="H40" s="118">
        <v>43100</v>
      </c>
      <c r="I40" s="24">
        <v>2640.375</v>
      </c>
      <c r="J40" s="77"/>
    </row>
    <row r="41" spans="1:11" ht="36" x14ac:dyDescent="0.25">
      <c r="A41" s="115">
        <v>34</v>
      </c>
      <c r="B41" s="60" t="s">
        <v>635</v>
      </c>
      <c r="C41" s="10" t="str">
        <f>"406-01/17-01/16"</f>
        <v>406-01/17-01/16</v>
      </c>
      <c r="D41" s="56">
        <v>43009</v>
      </c>
      <c r="E41" s="56">
        <v>43738</v>
      </c>
      <c r="F41" s="8">
        <v>144804</v>
      </c>
      <c r="G41" s="8">
        <v>181005</v>
      </c>
      <c r="H41" s="56">
        <v>43100</v>
      </c>
      <c r="I41" s="24">
        <v>35704.324999999997</v>
      </c>
      <c r="J41" s="77"/>
    </row>
    <row r="42" spans="1:11" x14ac:dyDescent="0.25">
      <c r="A42" s="115">
        <v>35</v>
      </c>
      <c r="B42" s="60" t="s">
        <v>706</v>
      </c>
      <c r="C42" s="10" t="str">
        <f>"GRUPA 1"</f>
        <v>GRUPA 1</v>
      </c>
      <c r="D42" s="56">
        <v>43009</v>
      </c>
      <c r="E42" s="56">
        <v>43373</v>
      </c>
      <c r="F42" s="8">
        <v>7076.1</v>
      </c>
      <c r="G42" s="8">
        <v>8845.1299999999992</v>
      </c>
      <c r="H42" s="56">
        <v>43100</v>
      </c>
      <c r="I42" s="24">
        <v>2007.6875</v>
      </c>
      <c r="J42" s="77"/>
    </row>
    <row r="43" spans="1:11" ht="24" x14ac:dyDescent="0.25">
      <c r="A43" s="115">
        <v>36</v>
      </c>
      <c r="B43" s="60" t="s">
        <v>197</v>
      </c>
      <c r="C43" s="10" t="str">
        <f>"U072/17"</f>
        <v>U072/17</v>
      </c>
      <c r="D43" s="56">
        <v>43000</v>
      </c>
      <c r="E43" s="56">
        <v>43373</v>
      </c>
      <c r="F43" s="8">
        <v>24930.22</v>
      </c>
      <c r="G43" s="8">
        <v>31162.78</v>
      </c>
      <c r="H43" s="56">
        <v>43100</v>
      </c>
      <c r="I43" s="24">
        <v>4252.0749999999998</v>
      </c>
      <c r="J43" s="77"/>
    </row>
    <row r="44" spans="1:11" ht="24" x14ac:dyDescent="0.25">
      <c r="A44" s="115">
        <v>37</v>
      </c>
      <c r="B44" s="60" t="s">
        <v>922</v>
      </c>
      <c r="C44" s="10" t="str">
        <f>"POSI"</f>
        <v>POSI</v>
      </c>
      <c r="D44" s="56">
        <v>43009</v>
      </c>
      <c r="E44" s="56">
        <v>43739</v>
      </c>
      <c r="F44" s="8">
        <v>9500</v>
      </c>
      <c r="G44" s="8">
        <v>11875</v>
      </c>
      <c r="H44" s="56">
        <v>43100</v>
      </c>
      <c r="I44" s="24">
        <v>622.25</v>
      </c>
      <c r="J44" s="77"/>
    </row>
    <row r="45" spans="1:11" ht="24" x14ac:dyDescent="0.25">
      <c r="A45" s="115">
        <v>38</v>
      </c>
      <c r="B45" s="60" t="s">
        <v>804</v>
      </c>
      <c r="C45" s="10" t="str">
        <f>"030-01/17-01/5"</f>
        <v>030-01/17-01/5</v>
      </c>
      <c r="D45" s="56">
        <v>43009</v>
      </c>
      <c r="E45" s="56">
        <v>43738</v>
      </c>
      <c r="F45" s="8">
        <v>346174.89</v>
      </c>
      <c r="G45" s="8">
        <v>432718.61</v>
      </c>
      <c r="H45" s="56">
        <v>43100</v>
      </c>
      <c r="I45" s="24">
        <v>48314.137499999997</v>
      </c>
      <c r="J45" s="77"/>
    </row>
    <row r="46" spans="1:11" ht="24" x14ac:dyDescent="0.25">
      <c r="A46" s="115">
        <v>39</v>
      </c>
      <c r="B46" s="60" t="s">
        <v>824</v>
      </c>
      <c r="C46" s="10" t="str">
        <f>"023-01/17-01/87"</f>
        <v>023-01/17-01/87</v>
      </c>
      <c r="D46" s="56">
        <v>43087</v>
      </c>
      <c r="E46" s="59"/>
      <c r="F46" s="8">
        <v>72224</v>
      </c>
      <c r="G46" s="8">
        <v>90305</v>
      </c>
      <c r="H46" s="162"/>
      <c r="I46" s="167">
        <v>0</v>
      </c>
      <c r="J46" s="77"/>
    </row>
    <row r="47" spans="1:11" ht="36" x14ac:dyDescent="0.25">
      <c r="A47" s="115">
        <v>40</v>
      </c>
      <c r="B47" s="60" t="s">
        <v>694</v>
      </c>
      <c r="C47" s="10" t="str">
        <f>"KLASA:406-09/17-02/05"</f>
        <v>KLASA:406-09/17-02/05</v>
      </c>
      <c r="D47" s="56">
        <v>42921</v>
      </c>
      <c r="E47" s="56">
        <v>43738</v>
      </c>
      <c r="F47" s="8">
        <v>148800</v>
      </c>
      <c r="G47" s="8">
        <v>186000</v>
      </c>
      <c r="H47" s="56">
        <v>43100</v>
      </c>
      <c r="I47" s="24">
        <v>8042.4625000000005</v>
      </c>
      <c r="J47" s="77"/>
      <c r="K47" s="48"/>
    </row>
    <row r="48" spans="1:11" ht="24" x14ac:dyDescent="0.25">
      <c r="A48" s="115">
        <v>41</v>
      </c>
      <c r="B48" s="60" t="s">
        <v>862</v>
      </c>
      <c r="C48" s="10" t="str">
        <f>"406-01/16-03/12"</f>
        <v>406-01/16-03/12</v>
      </c>
      <c r="D48" s="56">
        <v>43009</v>
      </c>
      <c r="E48" s="56">
        <v>43738</v>
      </c>
      <c r="F48" s="8">
        <v>14924.81</v>
      </c>
      <c r="G48" s="8">
        <v>18656.009999999998</v>
      </c>
      <c r="H48" s="56">
        <v>43100</v>
      </c>
      <c r="I48" s="24">
        <v>1926.2375</v>
      </c>
      <c r="J48" s="77"/>
    </row>
    <row r="49" spans="1:10" x14ac:dyDescent="0.25">
      <c r="A49" s="115">
        <v>42</v>
      </c>
      <c r="B49" s="60" t="s">
        <v>802</v>
      </c>
      <c r="C49" s="10" t="str">
        <f>"GRUPA 30"</f>
        <v>GRUPA 30</v>
      </c>
      <c r="D49" s="56">
        <v>43009</v>
      </c>
      <c r="E49" s="56">
        <v>43738</v>
      </c>
      <c r="F49" s="8">
        <v>104000</v>
      </c>
      <c r="G49" s="8">
        <v>130000</v>
      </c>
      <c r="H49" s="56">
        <v>43100</v>
      </c>
      <c r="I49" s="24">
        <v>7873.1124999999993</v>
      </c>
      <c r="J49" s="77"/>
    </row>
    <row r="50" spans="1:10" x14ac:dyDescent="0.25">
      <c r="A50" s="115">
        <v>43</v>
      </c>
      <c r="B50" s="60" t="s">
        <v>639</v>
      </c>
      <c r="C50" s="10" t="str">
        <f>"URZ-17-16"</f>
        <v>URZ-17-16</v>
      </c>
      <c r="D50" s="56">
        <v>43011</v>
      </c>
      <c r="E50" s="56">
        <v>43738</v>
      </c>
      <c r="F50" s="8">
        <v>27783</v>
      </c>
      <c r="G50" s="8">
        <v>34728.75</v>
      </c>
      <c r="H50" s="56">
        <v>43100</v>
      </c>
      <c r="I50" s="24">
        <v>11067.637500000001</v>
      </c>
      <c r="J50" s="77"/>
    </row>
    <row r="51" spans="1:10" ht="24" x14ac:dyDescent="0.25">
      <c r="A51" s="115">
        <v>44</v>
      </c>
      <c r="B51" s="60" t="s">
        <v>554</v>
      </c>
      <c r="C51" s="10" t="str">
        <f>"Z-VI-4-4064/17"</f>
        <v>Z-VI-4-4064/17</v>
      </c>
      <c r="D51" s="56">
        <v>43010</v>
      </c>
      <c r="E51" s="56">
        <v>43738</v>
      </c>
      <c r="F51" s="8">
        <v>210033</v>
      </c>
      <c r="G51" s="8">
        <v>262541.25</v>
      </c>
      <c r="H51" s="56">
        <v>43099</v>
      </c>
      <c r="I51" s="24">
        <v>123386.8</v>
      </c>
      <c r="J51" s="77"/>
    </row>
    <row r="52" spans="1:10" ht="24" x14ac:dyDescent="0.25">
      <c r="A52" s="115">
        <v>45</v>
      </c>
      <c r="B52" s="60" t="s">
        <v>695</v>
      </c>
      <c r="C52" s="10" t="str">
        <f>"PLIN-GRUPA 16"</f>
        <v>PLIN-GRUPA 16</v>
      </c>
      <c r="D52" s="56">
        <v>42992</v>
      </c>
      <c r="E52" s="56">
        <v>43738</v>
      </c>
      <c r="F52" s="8">
        <v>53454.66</v>
      </c>
      <c r="G52" s="8">
        <v>66818.33</v>
      </c>
      <c r="H52" s="56">
        <v>43100</v>
      </c>
      <c r="I52" s="24">
        <v>13590.4125</v>
      </c>
      <c r="J52" s="77"/>
    </row>
    <row r="53" spans="1:10" ht="24" x14ac:dyDescent="0.25">
      <c r="A53" s="115">
        <v>46</v>
      </c>
      <c r="B53" s="60" t="s">
        <v>600</v>
      </c>
      <c r="C53" s="10" t="str">
        <f>"R-37/2016-23"</f>
        <v>R-37/2016-23</v>
      </c>
      <c r="D53" s="56">
        <v>42997</v>
      </c>
      <c r="E53" s="56">
        <v>43738</v>
      </c>
      <c r="F53" s="8">
        <v>29248</v>
      </c>
      <c r="G53" s="8">
        <v>36560</v>
      </c>
      <c r="H53" s="56">
        <v>43100</v>
      </c>
      <c r="I53" s="24">
        <v>4178.8375000000005</v>
      </c>
      <c r="J53" s="77"/>
    </row>
    <row r="54" spans="1:10" ht="24" x14ac:dyDescent="0.25">
      <c r="A54" s="115">
        <v>47</v>
      </c>
      <c r="B54" s="60" t="s">
        <v>646</v>
      </c>
      <c r="C54" s="10" t="str">
        <f>"602-04/17-20/33"</f>
        <v>602-04/17-20/33</v>
      </c>
      <c r="D54" s="56">
        <v>42986</v>
      </c>
      <c r="E54" s="56">
        <v>43707</v>
      </c>
      <c r="F54" s="8">
        <v>250000</v>
      </c>
      <c r="G54" s="8">
        <v>312500</v>
      </c>
      <c r="H54" s="56">
        <v>43100</v>
      </c>
      <c r="I54" s="24">
        <v>7850.1125000000002</v>
      </c>
      <c r="J54" s="77"/>
    </row>
    <row r="55" spans="1:10" x14ac:dyDescent="0.25">
      <c r="A55" s="115">
        <v>48</v>
      </c>
      <c r="B55" s="60" t="s">
        <v>198</v>
      </c>
      <c r="C55" s="10" t="str">
        <f>"P/15301143"</f>
        <v>P/15301143</v>
      </c>
      <c r="D55" s="56">
        <v>42989</v>
      </c>
      <c r="E55" s="56">
        <v>43343</v>
      </c>
      <c r="F55" s="8">
        <v>46495.65</v>
      </c>
      <c r="G55" s="8">
        <v>58119.56</v>
      </c>
      <c r="H55" s="56">
        <v>43100</v>
      </c>
      <c r="I55" s="24">
        <v>5473.0749999999998</v>
      </c>
      <c r="J55" s="77"/>
    </row>
    <row r="56" spans="1:10" ht="24" x14ac:dyDescent="0.25">
      <c r="A56" s="115">
        <v>49</v>
      </c>
      <c r="B56" s="60" t="s">
        <v>628</v>
      </c>
      <c r="C56" s="10" t="str">
        <f>"KLASA:04-45/17-04-4/1"</f>
        <v>KLASA:04-45/17-04-4/1</v>
      </c>
      <c r="D56" s="56">
        <v>42936</v>
      </c>
      <c r="E56" s="56">
        <v>43708</v>
      </c>
      <c r="F56" s="8">
        <v>340000</v>
      </c>
      <c r="G56" s="8">
        <v>425000</v>
      </c>
      <c r="H56" s="56">
        <v>43100</v>
      </c>
      <c r="I56" s="24">
        <v>37230.362500000003</v>
      </c>
      <c r="J56" s="77"/>
    </row>
    <row r="57" spans="1:10" ht="24" x14ac:dyDescent="0.25">
      <c r="A57" s="115">
        <v>50</v>
      </c>
      <c r="B57" s="60" t="s">
        <v>869</v>
      </c>
      <c r="C57" s="10" t="str">
        <f>"406-01/17-02/9"</f>
        <v>406-01/17-02/9</v>
      </c>
      <c r="D57" s="56">
        <v>42979</v>
      </c>
      <c r="E57" s="56">
        <v>43708</v>
      </c>
      <c r="F57" s="8">
        <v>64200</v>
      </c>
      <c r="G57" s="8">
        <v>80250</v>
      </c>
      <c r="H57" s="56">
        <v>43100</v>
      </c>
      <c r="I57" s="24">
        <v>8035.45</v>
      </c>
      <c r="J57" s="77"/>
    </row>
    <row r="58" spans="1:10" ht="24" x14ac:dyDescent="0.25">
      <c r="A58" s="115">
        <v>51</v>
      </c>
      <c r="B58" s="60" t="s">
        <v>923</v>
      </c>
      <c r="C58" s="10" t="str">
        <f>"401-03/17-02/0031"</f>
        <v>401-03/17-02/0031</v>
      </c>
      <c r="D58" s="56">
        <v>43119</v>
      </c>
      <c r="E58" s="56">
        <v>43344</v>
      </c>
      <c r="F58" s="8">
        <v>24660.48</v>
      </c>
      <c r="G58" s="8">
        <v>30825.599999999999</v>
      </c>
      <c r="H58" s="162"/>
      <c r="I58" s="167">
        <v>0</v>
      </c>
      <c r="J58" s="77"/>
    </row>
    <row r="59" spans="1:10" x14ac:dyDescent="0.25">
      <c r="A59" s="115">
        <v>52</v>
      </c>
      <c r="B59" s="60" t="s">
        <v>662</v>
      </c>
      <c r="C59" s="10" t="str">
        <f>"MV-2/2017"</f>
        <v>MV-2/2017</v>
      </c>
      <c r="D59" s="56">
        <v>43039</v>
      </c>
      <c r="E59" s="56">
        <v>43708</v>
      </c>
      <c r="F59" s="8">
        <v>192540.09</v>
      </c>
      <c r="G59" s="8">
        <v>240675.11</v>
      </c>
      <c r="H59" s="162"/>
      <c r="I59" s="167">
        <v>0</v>
      </c>
      <c r="J59" s="77"/>
    </row>
    <row r="60" spans="1:10" ht="24" x14ac:dyDescent="0.25">
      <c r="A60" s="115">
        <v>53</v>
      </c>
      <c r="B60" s="60" t="s">
        <v>682</v>
      </c>
      <c r="C60" s="10" t="str">
        <f>"GRUPA 23."</f>
        <v>GRUPA 23.</v>
      </c>
      <c r="D60" s="56">
        <v>42978</v>
      </c>
      <c r="E60" s="56">
        <v>43343</v>
      </c>
      <c r="F60" s="8">
        <v>98769.34</v>
      </c>
      <c r="G60" s="8">
        <v>123461.68</v>
      </c>
      <c r="H60" s="56">
        <v>43100</v>
      </c>
      <c r="I60" s="24">
        <v>20627.462500000001</v>
      </c>
      <c r="J60" s="77"/>
    </row>
    <row r="61" spans="1:10" ht="36" x14ac:dyDescent="0.25">
      <c r="A61" s="115">
        <v>54</v>
      </c>
      <c r="B61" s="60" t="s">
        <v>568</v>
      </c>
      <c r="C61" s="10" t="str">
        <f>"UGOVOR O OPSKRBI PLINOM M"</f>
        <v>UGOVOR O OPSKRBI PLINOM M</v>
      </c>
      <c r="D61" s="56">
        <v>42948</v>
      </c>
      <c r="E61" s="56">
        <v>43708</v>
      </c>
      <c r="F61" s="8">
        <v>209252</v>
      </c>
      <c r="G61" s="8">
        <v>261565</v>
      </c>
      <c r="H61" s="56">
        <v>43100</v>
      </c>
      <c r="I61" s="24">
        <v>43811.987499999996</v>
      </c>
      <c r="J61" s="77"/>
    </row>
    <row r="62" spans="1:10" ht="24" x14ac:dyDescent="0.25">
      <c r="A62" s="115">
        <v>55</v>
      </c>
      <c r="B62" s="60" t="s">
        <v>743</v>
      </c>
      <c r="C62" s="10" t="str">
        <f>"41 SU-393/17"</f>
        <v>41 SU-393/17</v>
      </c>
      <c r="D62" s="56">
        <v>43024</v>
      </c>
      <c r="E62" s="56">
        <v>43709</v>
      </c>
      <c r="F62" s="8">
        <v>144000</v>
      </c>
      <c r="G62" s="8">
        <v>180000</v>
      </c>
      <c r="H62" s="56">
        <v>43100</v>
      </c>
      <c r="I62" s="24">
        <v>11991.8125</v>
      </c>
      <c r="J62" s="77"/>
    </row>
    <row r="63" spans="1:10" ht="24" x14ac:dyDescent="0.25">
      <c r="A63" s="115">
        <v>56</v>
      </c>
      <c r="B63" s="60" t="s">
        <v>576</v>
      </c>
      <c r="C63" s="10" t="str">
        <f>"567"</f>
        <v>567</v>
      </c>
      <c r="D63" s="56">
        <v>42972</v>
      </c>
      <c r="E63" s="56">
        <v>42916</v>
      </c>
      <c r="F63" s="8">
        <v>259828.23</v>
      </c>
      <c r="G63" s="8">
        <v>324785.28999999998</v>
      </c>
      <c r="H63" s="56">
        <v>43100</v>
      </c>
      <c r="I63" s="24">
        <v>51438.925000000003</v>
      </c>
      <c r="J63" s="77"/>
    </row>
    <row r="64" spans="1:10" x14ac:dyDescent="0.25">
      <c r="A64" s="115">
        <v>57</v>
      </c>
      <c r="B64" s="60" t="s">
        <v>699</v>
      </c>
      <c r="C64" s="10" t="str">
        <f>"GRUPA 23"</f>
        <v>GRUPA 23</v>
      </c>
      <c r="D64" s="56">
        <v>42948</v>
      </c>
      <c r="E64" s="56">
        <v>43678</v>
      </c>
      <c r="F64" s="8">
        <v>404840.56</v>
      </c>
      <c r="G64" s="8">
        <v>506050.7</v>
      </c>
      <c r="H64" s="56">
        <v>43100</v>
      </c>
      <c r="I64" s="24">
        <v>44362.862500000003</v>
      </c>
      <c r="J64" s="77"/>
    </row>
    <row r="65" spans="1:11" ht="24" x14ac:dyDescent="0.25">
      <c r="A65" s="115">
        <v>58</v>
      </c>
      <c r="B65" s="60" t="s">
        <v>799</v>
      </c>
      <c r="C65" s="10" t="str">
        <f>"430-02/17-01/26"</f>
        <v>430-02/17-01/26</v>
      </c>
      <c r="D65" s="56">
        <v>42948</v>
      </c>
      <c r="E65" s="56">
        <v>43677</v>
      </c>
      <c r="F65" s="8">
        <v>65460.800000000003</v>
      </c>
      <c r="G65" s="8">
        <v>81826</v>
      </c>
      <c r="H65" s="56">
        <v>43100</v>
      </c>
      <c r="I65" s="24">
        <v>7281.1875</v>
      </c>
      <c r="J65" s="77"/>
    </row>
    <row r="66" spans="1:11" ht="24" x14ac:dyDescent="0.25">
      <c r="A66" s="115">
        <v>59</v>
      </c>
      <c r="B66" s="60" t="s">
        <v>924</v>
      </c>
      <c r="C66" s="10" t="str">
        <f>"1-2017"</f>
        <v>1-2017</v>
      </c>
      <c r="D66" s="56">
        <v>42991</v>
      </c>
      <c r="E66" s="56">
        <v>43678</v>
      </c>
      <c r="F66" s="8">
        <v>37671.21</v>
      </c>
      <c r="G66" s="8">
        <v>47089.01</v>
      </c>
      <c r="H66" s="56">
        <v>43100</v>
      </c>
      <c r="I66" s="24">
        <v>10837.0625</v>
      </c>
      <c r="J66" s="77"/>
    </row>
    <row r="67" spans="1:11" ht="24" x14ac:dyDescent="0.25">
      <c r="A67" s="115">
        <v>60</v>
      </c>
      <c r="B67" s="60" t="s">
        <v>666</v>
      </c>
      <c r="C67" s="10" t="str">
        <f>"U-194/17"</f>
        <v>U-194/17</v>
      </c>
      <c r="D67" s="56">
        <v>42992</v>
      </c>
      <c r="E67" s="56">
        <v>43677</v>
      </c>
      <c r="F67" s="8">
        <v>713936.47</v>
      </c>
      <c r="G67" s="8">
        <v>892420.59</v>
      </c>
      <c r="H67" s="56">
        <v>43100</v>
      </c>
      <c r="I67" s="24">
        <v>24199.25</v>
      </c>
      <c r="J67" s="77"/>
    </row>
    <row r="68" spans="1:11" x14ac:dyDescent="0.25">
      <c r="A68" s="115">
        <v>61</v>
      </c>
      <c r="B68" s="60" t="s">
        <v>616</v>
      </c>
      <c r="C68" s="10" t="str">
        <f>"41 SU-6/17-8"</f>
        <v>41 SU-6/17-8</v>
      </c>
      <c r="D68" s="56">
        <v>42978</v>
      </c>
      <c r="E68" s="56">
        <v>43677</v>
      </c>
      <c r="F68" s="8">
        <v>531852.84</v>
      </c>
      <c r="G68" s="8">
        <v>664816.05000000005</v>
      </c>
      <c r="H68" s="56">
        <v>43100</v>
      </c>
      <c r="I68" s="24">
        <v>144513.44999999998</v>
      </c>
      <c r="J68" s="77"/>
      <c r="K68" s="48"/>
    </row>
    <row r="69" spans="1:11" ht="24" x14ac:dyDescent="0.25">
      <c r="A69" s="115">
        <v>62</v>
      </c>
      <c r="B69" s="60" t="s">
        <v>533</v>
      </c>
      <c r="C69" s="10" t="str">
        <f>"555-3/17"</f>
        <v>555-3/17</v>
      </c>
      <c r="D69" s="56">
        <v>42948</v>
      </c>
      <c r="E69" s="56">
        <v>43677</v>
      </c>
      <c r="F69" s="8">
        <v>0</v>
      </c>
      <c r="G69" s="8">
        <v>0</v>
      </c>
      <c r="H69" s="56">
        <v>43100</v>
      </c>
      <c r="I69" s="24">
        <v>21732.15</v>
      </c>
      <c r="J69" s="77"/>
    </row>
    <row r="70" spans="1:11" ht="24" x14ac:dyDescent="0.25">
      <c r="A70" s="115">
        <v>63</v>
      </c>
      <c r="B70" s="60" t="s">
        <v>818</v>
      </c>
      <c r="C70" s="10" t="str">
        <f>"05/17-VV/DT"</f>
        <v>05/17-VV/DT</v>
      </c>
      <c r="D70" s="56">
        <v>42971</v>
      </c>
      <c r="E70" s="56">
        <v>43677</v>
      </c>
      <c r="F70" s="8">
        <v>11897.29</v>
      </c>
      <c r="G70" s="8">
        <v>14871.61</v>
      </c>
      <c r="H70" s="56">
        <v>43100</v>
      </c>
      <c r="I70" s="24">
        <v>4273.9375</v>
      </c>
      <c r="J70" s="77"/>
    </row>
    <row r="71" spans="1:11" ht="24" x14ac:dyDescent="0.25">
      <c r="A71" s="115">
        <v>64</v>
      </c>
      <c r="B71" s="60" t="s">
        <v>925</v>
      </c>
      <c r="C71" s="10" t="str">
        <f>"UGOVOR ZA GRUPU/E"</f>
        <v>UGOVOR ZA GRUPU/E</v>
      </c>
      <c r="D71" s="56">
        <v>42982</v>
      </c>
      <c r="E71" s="56">
        <v>43677</v>
      </c>
      <c r="F71" s="8">
        <v>17563.34</v>
      </c>
      <c r="G71" s="8">
        <v>21954.18</v>
      </c>
      <c r="H71" s="56">
        <v>43100</v>
      </c>
      <c r="I71" s="24">
        <v>4458.7875000000004</v>
      </c>
      <c r="J71" s="77"/>
    </row>
    <row r="72" spans="1:11" ht="24" x14ac:dyDescent="0.25">
      <c r="A72" s="115">
        <v>65</v>
      </c>
      <c r="B72" s="60" t="s">
        <v>18</v>
      </c>
      <c r="C72" s="10" t="str">
        <f>"SNUG-203-17-052"</f>
        <v>SNUG-203-17-052</v>
      </c>
      <c r="D72" s="56">
        <v>42971</v>
      </c>
      <c r="E72" s="56">
        <v>43313</v>
      </c>
      <c r="F72" s="8">
        <v>3934031.6</v>
      </c>
      <c r="G72" s="8">
        <v>4917539.5</v>
      </c>
      <c r="H72" s="56">
        <v>43100</v>
      </c>
      <c r="I72" s="24">
        <v>697822.70000000007</v>
      </c>
      <c r="J72" s="77"/>
    </row>
    <row r="73" spans="1:11" x14ac:dyDescent="0.25">
      <c r="A73" s="115">
        <v>66</v>
      </c>
      <c r="B73" s="60" t="s">
        <v>810</v>
      </c>
      <c r="C73" s="10" t="str">
        <f>"01-448/1-17"</f>
        <v>01-448/1-17</v>
      </c>
      <c r="D73" s="56">
        <v>42948</v>
      </c>
      <c r="E73" s="56">
        <v>43677</v>
      </c>
      <c r="F73" s="8">
        <v>838828.55</v>
      </c>
      <c r="G73" s="8">
        <v>1048535.69</v>
      </c>
      <c r="H73" s="56">
        <v>43100</v>
      </c>
      <c r="I73" s="24">
        <v>28762.8125</v>
      </c>
      <c r="J73" s="77"/>
    </row>
    <row r="74" spans="1:11" ht="24" x14ac:dyDescent="0.25">
      <c r="A74" s="115">
        <v>67</v>
      </c>
      <c r="B74" s="60" t="s">
        <v>720</v>
      </c>
      <c r="C74" s="10" t="str">
        <f>"26 KL:UP/I-030-01/17-03-2"</f>
        <v>26 KL:UP/I-030-01/17-03-2</v>
      </c>
      <c r="D74" s="56">
        <v>42941</v>
      </c>
      <c r="E74" s="56">
        <v>43312</v>
      </c>
      <c r="F74" s="8">
        <v>61574.400000000001</v>
      </c>
      <c r="G74" s="8">
        <v>76968</v>
      </c>
      <c r="H74" s="56">
        <v>43100</v>
      </c>
      <c r="I74" s="24">
        <v>17949</v>
      </c>
      <c r="J74" s="77"/>
    </row>
    <row r="75" spans="1:11" ht="24" x14ac:dyDescent="0.25">
      <c r="A75" s="115">
        <v>68</v>
      </c>
      <c r="B75" s="60" t="s">
        <v>618</v>
      </c>
      <c r="C75" s="10" t="str">
        <f>"41 SU-116/17-6"</f>
        <v>41 SU-116/17-6</v>
      </c>
      <c r="D75" s="56">
        <v>42978</v>
      </c>
      <c r="E75" s="56">
        <v>43677</v>
      </c>
      <c r="F75" s="8">
        <v>23030</v>
      </c>
      <c r="G75" s="8">
        <v>28787.5</v>
      </c>
      <c r="H75" s="56">
        <v>43100</v>
      </c>
      <c r="I75" s="24">
        <v>771</v>
      </c>
      <c r="J75" s="77"/>
    </row>
    <row r="76" spans="1:11" ht="24" x14ac:dyDescent="0.25">
      <c r="A76" s="115">
        <v>69</v>
      </c>
      <c r="B76" s="60" t="s">
        <v>877</v>
      </c>
      <c r="C76" s="10" t="str">
        <f>"496-01/17-02/6"</f>
        <v>496-01/17-02/6</v>
      </c>
      <c r="D76" s="56">
        <v>42915</v>
      </c>
      <c r="E76" s="56">
        <v>43646</v>
      </c>
      <c r="F76" s="8">
        <v>0</v>
      </c>
      <c r="G76" s="8">
        <v>0</v>
      </c>
      <c r="H76" s="56">
        <v>43008</v>
      </c>
      <c r="I76" s="24">
        <v>7596.7250000000004</v>
      </c>
      <c r="J76" s="77"/>
    </row>
    <row r="77" spans="1:11" ht="36" x14ac:dyDescent="0.25">
      <c r="A77" s="115">
        <v>70</v>
      </c>
      <c r="B77" s="60" t="s">
        <v>840</v>
      </c>
      <c r="C77" s="10" t="str">
        <f>"402-02/17-01/19"</f>
        <v>402-02/17-01/19</v>
      </c>
      <c r="D77" s="56">
        <v>42917</v>
      </c>
      <c r="E77" s="56">
        <v>43646</v>
      </c>
      <c r="F77" s="8">
        <v>417000</v>
      </c>
      <c r="G77" s="8">
        <v>521250</v>
      </c>
      <c r="H77" s="56">
        <v>43100</v>
      </c>
      <c r="I77" s="24">
        <v>70532.787500000006</v>
      </c>
      <c r="J77" s="77"/>
    </row>
    <row r="78" spans="1:11" ht="24" x14ac:dyDescent="0.25">
      <c r="A78" s="115">
        <v>71</v>
      </c>
      <c r="B78" s="60" t="s">
        <v>522</v>
      </c>
      <c r="C78" s="10" t="str">
        <f>"430-02/17-01/66"</f>
        <v>430-02/17-01/66</v>
      </c>
      <c r="D78" s="56">
        <v>42905</v>
      </c>
      <c r="E78" s="56">
        <v>43647</v>
      </c>
      <c r="F78" s="8">
        <v>625920</v>
      </c>
      <c r="G78" s="8">
        <v>782400</v>
      </c>
      <c r="H78" s="56">
        <v>43100</v>
      </c>
      <c r="I78" s="24">
        <v>66444.525000000009</v>
      </c>
      <c r="J78" s="77"/>
    </row>
    <row r="79" spans="1:11" ht="24" x14ac:dyDescent="0.25">
      <c r="A79" s="115">
        <v>72</v>
      </c>
      <c r="B79" s="60" t="s">
        <v>204</v>
      </c>
      <c r="C79" s="10" t="str">
        <f>"7/2016-M-17/65-2"</f>
        <v>7/2016-M-17/65-2</v>
      </c>
      <c r="D79" s="56">
        <v>42900</v>
      </c>
      <c r="E79" s="56">
        <v>43646</v>
      </c>
      <c r="F79" s="8">
        <v>206760</v>
      </c>
      <c r="G79" s="8">
        <v>258450</v>
      </c>
      <c r="H79" s="56">
        <v>43100</v>
      </c>
      <c r="I79" s="24">
        <v>32472.012500000001</v>
      </c>
      <c r="J79" s="77"/>
    </row>
    <row r="80" spans="1:11" ht="24" x14ac:dyDescent="0.25">
      <c r="A80" s="115">
        <v>73</v>
      </c>
      <c r="B80" s="60" t="s">
        <v>843</v>
      </c>
      <c r="C80" s="10" t="str">
        <f>"640-05/17-01/14"</f>
        <v>640-05/17-01/14</v>
      </c>
      <c r="D80" s="56">
        <v>42891</v>
      </c>
      <c r="E80" s="56">
        <v>43647</v>
      </c>
      <c r="F80" s="8">
        <v>418240</v>
      </c>
      <c r="G80" s="8">
        <v>522800</v>
      </c>
      <c r="H80" s="56">
        <v>43100</v>
      </c>
      <c r="I80" s="24">
        <v>90320.387499999997</v>
      </c>
      <c r="J80" s="77"/>
    </row>
    <row r="81" spans="1:11" ht="36" x14ac:dyDescent="0.25">
      <c r="A81" s="115">
        <v>74</v>
      </c>
      <c r="B81" s="60" t="s">
        <v>768</v>
      </c>
      <c r="C81" s="10" t="str">
        <f>"7-2016-M"</f>
        <v>7-2016-M</v>
      </c>
      <c r="D81" s="56">
        <v>42891</v>
      </c>
      <c r="E81" s="56">
        <v>43646</v>
      </c>
      <c r="F81" s="8">
        <v>222627.97</v>
      </c>
      <c r="G81" s="8">
        <v>278284.96000000002</v>
      </c>
      <c r="H81" s="56">
        <v>43100</v>
      </c>
      <c r="I81" s="24">
        <v>143236.29999999999</v>
      </c>
      <c r="J81" s="77"/>
    </row>
    <row r="82" spans="1:11" ht="36" x14ac:dyDescent="0.25">
      <c r="A82" s="115">
        <v>75</v>
      </c>
      <c r="B82" s="60" t="s">
        <v>186</v>
      </c>
      <c r="C82" s="10" t="str">
        <f>"406-01/17-01/0076-4 GRUPE"</f>
        <v>406-01/17-01/0076-4 GRUPE</v>
      </c>
      <c r="D82" s="56">
        <v>42935</v>
      </c>
      <c r="E82" s="56">
        <v>43646</v>
      </c>
      <c r="F82" s="8">
        <v>388964.04</v>
      </c>
      <c r="G82" s="8">
        <v>486205.05</v>
      </c>
      <c r="H82" s="56">
        <v>43008</v>
      </c>
      <c r="I82" s="24">
        <v>989.05</v>
      </c>
      <c r="J82" s="77"/>
    </row>
    <row r="83" spans="1:11" ht="36" x14ac:dyDescent="0.25">
      <c r="A83" s="115">
        <v>76</v>
      </c>
      <c r="B83" s="60" t="s">
        <v>191</v>
      </c>
      <c r="C83" s="10" t="str">
        <f>"MFINUŽIDIOKL.406-01/16-01/141"</f>
        <v>MFINUŽIDIOKL.406-01/16-01/141</v>
      </c>
      <c r="D83" s="56">
        <v>42929</v>
      </c>
      <c r="E83" s="56">
        <v>43282</v>
      </c>
      <c r="F83" s="8">
        <v>174000</v>
      </c>
      <c r="G83" s="8">
        <v>217500</v>
      </c>
      <c r="H83" s="56">
        <v>43100</v>
      </c>
      <c r="I83" s="24">
        <v>50584.85</v>
      </c>
      <c r="J83" s="77"/>
    </row>
    <row r="84" spans="1:11" ht="24" x14ac:dyDescent="0.25">
      <c r="A84" s="115">
        <v>77</v>
      </c>
      <c r="B84" s="60" t="s">
        <v>637</v>
      </c>
      <c r="C84" s="10" t="str">
        <f>"MEĐIMURJE-PLIN"</f>
        <v>MEĐIMURJE-PLIN</v>
      </c>
      <c r="D84" s="56">
        <v>42916</v>
      </c>
      <c r="E84" s="56">
        <v>43646</v>
      </c>
      <c r="F84" s="8">
        <v>92800</v>
      </c>
      <c r="G84" s="8">
        <v>116000</v>
      </c>
      <c r="H84" s="56">
        <v>43100</v>
      </c>
      <c r="I84" s="24">
        <v>10434.362499999999</v>
      </c>
      <c r="J84" s="77"/>
    </row>
    <row r="85" spans="1:11" ht="24" x14ac:dyDescent="0.25">
      <c r="A85" s="115">
        <v>78</v>
      </c>
      <c r="B85" s="60" t="s">
        <v>540</v>
      </c>
      <c r="C85" s="10" t="str">
        <f>"MV002"</f>
        <v>MV002</v>
      </c>
      <c r="D85" s="56">
        <v>42934</v>
      </c>
      <c r="E85" s="56">
        <v>43281</v>
      </c>
      <c r="F85" s="8">
        <v>710245</v>
      </c>
      <c r="G85" s="8">
        <v>887806.25</v>
      </c>
      <c r="H85" s="56">
        <v>43100</v>
      </c>
      <c r="I85" s="24">
        <v>703203.27500000002</v>
      </c>
      <c r="J85" s="77"/>
    </row>
    <row r="86" spans="1:11" ht="36" x14ac:dyDescent="0.25">
      <c r="A86" s="115">
        <v>79</v>
      </c>
      <c r="B86" s="60" t="s">
        <v>488</v>
      </c>
      <c r="C86" s="10" t="str">
        <f>"UGOVOR ZA PLIN GRUPA 23 2017"</f>
        <v>UGOVOR ZA PLIN GRUPA 23 2017</v>
      </c>
      <c r="D86" s="56">
        <v>42941</v>
      </c>
      <c r="E86" s="56">
        <v>43281</v>
      </c>
      <c r="F86" s="8">
        <v>946963.28</v>
      </c>
      <c r="G86" s="8">
        <v>1183704.1000000001</v>
      </c>
      <c r="H86" s="56">
        <v>43100</v>
      </c>
      <c r="I86" s="24">
        <v>106856.16249999999</v>
      </c>
      <c r="J86" s="77"/>
    </row>
    <row r="87" spans="1:11" ht="24" x14ac:dyDescent="0.25">
      <c r="A87" s="115">
        <v>80</v>
      </c>
      <c r="B87" s="60" t="s">
        <v>859</v>
      </c>
      <c r="C87" s="10" t="str">
        <f>"29"</f>
        <v>29</v>
      </c>
      <c r="D87" s="56">
        <v>42940</v>
      </c>
      <c r="E87" s="56">
        <v>43646</v>
      </c>
      <c r="F87" s="8">
        <v>20183.22</v>
      </c>
      <c r="G87" s="8">
        <v>25229.03</v>
      </c>
      <c r="H87" s="56">
        <v>43100</v>
      </c>
      <c r="I87" s="24">
        <v>3021.3999999999996</v>
      </c>
      <c r="J87" s="77"/>
    </row>
    <row r="88" spans="1:11" x14ac:dyDescent="0.25">
      <c r="A88" s="115">
        <v>81</v>
      </c>
      <c r="B88" s="60" t="s">
        <v>593</v>
      </c>
      <c r="C88" s="10" t="str">
        <f>"A-330/2017"</f>
        <v>A-330/2017</v>
      </c>
      <c r="D88" s="56">
        <v>42935</v>
      </c>
      <c r="E88" s="56">
        <v>43646</v>
      </c>
      <c r="F88" s="8">
        <v>125942.46</v>
      </c>
      <c r="G88" s="8">
        <v>157428.07999999999</v>
      </c>
      <c r="H88" s="56">
        <v>43100</v>
      </c>
      <c r="I88" s="24">
        <v>33436.012500000004</v>
      </c>
      <c r="J88" s="77"/>
    </row>
    <row r="89" spans="1:11" ht="24" x14ac:dyDescent="0.25">
      <c r="A89" s="115">
        <v>82</v>
      </c>
      <c r="B89" s="60" t="s">
        <v>881</v>
      </c>
      <c r="C89" s="10" t="str">
        <f>"01-955/1-2017"</f>
        <v>01-955/1-2017</v>
      </c>
      <c r="D89" s="56">
        <v>42917</v>
      </c>
      <c r="E89" s="56">
        <v>43646</v>
      </c>
      <c r="F89" s="8">
        <v>1513249</v>
      </c>
      <c r="G89" s="8">
        <v>1891561.25</v>
      </c>
      <c r="H89" s="56">
        <v>43100</v>
      </c>
      <c r="I89" s="24">
        <v>241907.5</v>
      </c>
      <c r="J89" s="77"/>
      <c r="K89" s="48"/>
    </row>
    <row r="90" spans="1:11" x14ac:dyDescent="0.25">
      <c r="A90" s="115">
        <v>83</v>
      </c>
      <c r="B90" s="60" t="s">
        <v>713</v>
      </c>
      <c r="C90" s="10" t="str">
        <f>"UG PLIN KC"</f>
        <v>UG PLIN KC</v>
      </c>
      <c r="D90" s="56">
        <v>42941</v>
      </c>
      <c r="E90" s="56">
        <v>43646</v>
      </c>
      <c r="F90" s="8">
        <v>10634</v>
      </c>
      <c r="G90" s="8">
        <v>13292.5</v>
      </c>
      <c r="H90" s="56">
        <v>43100</v>
      </c>
      <c r="I90" s="24">
        <v>3487.5</v>
      </c>
      <c r="J90" s="77"/>
    </row>
    <row r="91" spans="1:11" ht="24" x14ac:dyDescent="0.25">
      <c r="A91" s="115">
        <v>84</v>
      </c>
      <c r="B91" s="60" t="s">
        <v>675</v>
      </c>
      <c r="C91" s="10" t="str">
        <f>"7/2016-M-6218"</f>
        <v>7/2016-M-6218</v>
      </c>
      <c r="D91" s="56">
        <v>42941</v>
      </c>
      <c r="E91" s="56">
        <v>43281</v>
      </c>
      <c r="F91" s="8">
        <v>24000</v>
      </c>
      <c r="G91" s="8">
        <v>30000</v>
      </c>
      <c r="H91" s="56">
        <v>43100</v>
      </c>
      <c r="I91" s="24">
        <v>14826.2125</v>
      </c>
      <c r="J91" s="77"/>
    </row>
    <row r="92" spans="1:11" ht="15" customHeight="1" x14ac:dyDescent="0.25">
      <c r="A92" s="115">
        <v>85</v>
      </c>
      <c r="B92" s="92" t="s">
        <v>731</v>
      </c>
      <c r="C92" s="93" t="str">
        <f>"OPSKRBA PRIRODNIM PLINOM"</f>
        <v>OPSKRBA PRIRODNIM PLINOM</v>
      </c>
      <c r="D92" s="94">
        <v>42917</v>
      </c>
      <c r="E92" s="94">
        <v>43646</v>
      </c>
      <c r="F92" s="95">
        <v>53145.38</v>
      </c>
      <c r="G92" s="95">
        <v>66431.73</v>
      </c>
      <c r="H92" s="94">
        <v>43100</v>
      </c>
      <c r="I92" s="24">
        <v>4941.5</v>
      </c>
      <c r="J92" s="77"/>
    </row>
    <row r="93" spans="1:11" x14ac:dyDescent="0.25">
      <c r="A93" s="115">
        <v>86</v>
      </c>
      <c r="B93" s="60" t="s">
        <v>16</v>
      </c>
      <c r="C93" s="10" t="str">
        <f>"15-2017"</f>
        <v>15-2017</v>
      </c>
      <c r="D93" s="56">
        <v>42928</v>
      </c>
      <c r="E93" s="56">
        <v>43281</v>
      </c>
      <c r="F93" s="8">
        <v>300996</v>
      </c>
      <c r="G93" s="8">
        <v>376245</v>
      </c>
      <c r="H93" s="56">
        <v>43100</v>
      </c>
      <c r="I93" s="24">
        <v>40585.112500000003</v>
      </c>
      <c r="J93" s="77"/>
    </row>
    <row r="94" spans="1:11" x14ac:dyDescent="0.25">
      <c r="A94" s="115">
        <v>87</v>
      </c>
      <c r="B94" s="60" t="s">
        <v>683</v>
      </c>
      <c r="C94" s="10" t="str">
        <f>"17-13/17"</f>
        <v>17-13/17</v>
      </c>
      <c r="D94" s="56">
        <v>42917</v>
      </c>
      <c r="E94" s="56">
        <v>43646</v>
      </c>
      <c r="F94" s="8">
        <v>82320</v>
      </c>
      <c r="G94" s="8">
        <v>102900</v>
      </c>
      <c r="H94" s="56">
        <v>43100</v>
      </c>
      <c r="I94" s="24">
        <v>19100.849999999999</v>
      </c>
      <c r="J94" s="77"/>
    </row>
    <row r="95" spans="1:11" ht="24" x14ac:dyDescent="0.25">
      <c r="A95" s="115">
        <v>88</v>
      </c>
      <c r="B95" s="60" t="s">
        <v>871</v>
      </c>
      <c r="C95" s="10" t="str">
        <f>"404-01/17-01/3"</f>
        <v>404-01/17-01/3</v>
      </c>
      <c r="D95" s="56">
        <v>42917</v>
      </c>
      <c r="E95" s="56">
        <v>43646</v>
      </c>
      <c r="F95" s="8">
        <v>2193.9899999999998</v>
      </c>
      <c r="G95" s="8">
        <v>2742.49</v>
      </c>
      <c r="H95" s="56">
        <v>43100</v>
      </c>
      <c r="I95" s="24">
        <v>756.35</v>
      </c>
      <c r="J95" s="77"/>
    </row>
    <row r="96" spans="1:11" ht="24" x14ac:dyDescent="0.25">
      <c r="A96" s="115">
        <v>89</v>
      </c>
      <c r="B96" s="60" t="s">
        <v>481</v>
      </c>
      <c r="C96" s="10" t="str">
        <f>"406-09/17-08/03"</f>
        <v>406-09/17-08/03</v>
      </c>
      <c r="D96" s="56">
        <v>42917</v>
      </c>
      <c r="E96" s="56">
        <v>43646</v>
      </c>
      <c r="F96" s="8">
        <v>427363</v>
      </c>
      <c r="G96" s="8">
        <v>534203.75</v>
      </c>
      <c r="H96" s="56">
        <v>43100</v>
      </c>
      <c r="I96" s="24">
        <v>77649.912500000006</v>
      </c>
      <c r="J96" s="77"/>
    </row>
    <row r="97" spans="1:11" x14ac:dyDescent="0.25">
      <c r="A97" s="115">
        <v>90</v>
      </c>
      <c r="B97" s="60" t="s">
        <v>897</v>
      </c>
      <c r="C97" s="10" t="str">
        <f>"01-156/1-17"</f>
        <v>01-156/1-17</v>
      </c>
      <c r="D97" s="56">
        <v>42970</v>
      </c>
      <c r="E97" s="56">
        <v>43646</v>
      </c>
      <c r="F97" s="8">
        <v>325209.09999999998</v>
      </c>
      <c r="G97" s="8">
        <v>406511.38</v>
      </c>
      <c r="H97" s="56">
        <v>43100</v>
      </c>
      <c r="I97" s="24">
        <v>54668.325000000004</v>
      </c>
      <c r="J97" s="77"/>
    </row>
    <row r="98" spans="1:11" ht="36" x14ac:dyDescent="0.25">
      <c r="A98" s="115">
        <v>91</v>
      </c>
      <c r="B98" s="60" t="s">
        <v>601</v>
      </c>
      <c r="C98" s="10" t="str">
        <f>"7-76/2017"</f>
        <v>7-76/2017</v>
      </c>
      <c r="D98" s="56">
        <v>42958</v>
      </c>
      <c r="E98" s="56">
        <v>43646</v>
      </c>
      <c r="F98" s="8">
        <v>329280</v>
      </c>
      <c r="G98" s="8">
        <v>411600</v>
      </c>
      <c r="H98" s="56">
        <v>43100</v>
      </c>
      <c r="I98" s="24">
        <v>39501.862500000003</v>
      </c>
      <c r="J98" s="77"/>
    </row>
    <row r="99" spans="1:11" ht="36" x14ac:dyDescent="0.25">
      <c r="A99" s="115">
        <v>92</v>
      </c>
      <c r="B99" s="60" t="s">
        <v>794</v>
      </c>
      <c r="C99" s="10" t="str">
        <f>"251-78-01/1-17-1"</f>
        <v>251-78-01/1-17-1</v>
      </c>
      <c r="D99" s="56">
        <v>42917</v>
      </c>
      <c r="E99" s="56">
        <v>43646</v>
      </c>
      <c r="F99" s="8">
        <v>69501.48</v>
      </c>
      <c r="G99" s="8">
        <v>86876.85</v>
      </c>
      <c r="H99" s="56">
        <v>43100</v>
      </c>
      <c r="I99" s="24">
        <v>14980.762500000001</v>
      </c>
      <c r="J99" s="77"/>
    </row>
    <row r="100" spans="1:11" x14ac:dyDescent="0.25">
      <c r="A100" s="115">
        <v>93</v>
      </c>
      <c r="B100" s="60" t="s">
        <v>503</v>
      </c>
      <c r="C100" s="10" t="str">
        <f>"21/2017 OS"</f>
        <v>21/2017 OS</v>
      </c>
      <c r="D100" s="56">
        <v>42917</v>
      </c>
      <c r="E100" s="56">
        <v>43281</v>
      </c>
      <c r="F100" s="8">
        <v>106400</v>
      </c>
      <c r="G100" s="8">
        <v>133000</v>
      </c>
      <c r="H100" s="56">
        <v>43100</v>
      </c>
      <c r="I100" s="24">
        <v>48085.012500000004</v>
      </c>
      <c r="J100" s="77"/>
    </row>
    <row r="101" spans="1:11" ht="24" x14ac:dyDescent="0.25">
      <c r="A101" s="115">
        <v>94</v>
      </c>
      <c r="B101" s="60" t="s">
        <v>823</v>
      </c>
      <c r="C101" s="10" t="str">
        <f>"7/2016-M-564"</f>
        <v>7/2016-M-564</v>
      </c>
      <c r="D101" s="56">
        <v>42975</v>
      </c>
      <c r="E101" s="56">
        <v>43646</v>
      </c>
      <c r="F101" s="8">
        <v>100000</v>
      </c>
      <c r="G101" s="8">
        <v>125000</v>
      </c>
      <c r="H101" s="56">
        <v>43100</v>
      </c>
      <c r="I101" s="24">
        <v>10958.275000000001</v>
      </c>
      <c r="J101" s="77"/>
    </row>
    <row r="102" spans="1:11" ht="24" x14ac:dyDescent="0.25">
      <c r="A102" s="115">
        <v>95</v>
      </c>
      <c r="B102" s="60" t="s">
        <v>592</v>
      </c>
      <c r="C102" s="10" t="str">
        <f>"10-231-08/03-2017"</f>
        <v>10-231-08/03-2017</v>
      </c>
      <c r="D102" s="56">
        <v>42917</v>
      </c>
      <c r="E102" s="56">
        <v>43646</v>
      </c>
      <c r="F102" s="8">
        <v>871912.98</v>
      </c>
      <c r="G102" s="8">
        <v>1089891.23</v>
      </c>
      <c r="H102" s="56">
        <v>43100</v>
      </c>
      <c r="I102" s="24">
        <v>119686.7375</v>
      </c>
      <c r="J102" s="77"/>
    </row>
    <row r="103" spans="1:11" x14ac:dyDescent="0.25">
      <c r="A103" s="115">
        <v>96</v>
      </c>
      <c r="B103" s="60" t="s">
        <v>610</v>
      </c>
      <c r="C103" s="10" t="str">
        <f>"510-01/17/15"</f>
        <v>510-01/17/15</v>
      </c>
      <c r="D103" s="56">
        <v>42992</v>
      </c>
      <c r="E103" s="56">
        <v>43647</v>
      </c>
      <c r="F103" s="8">
        <v>19035</v>
      </c>
      <c r="G103" s="8">
        <v>23793.75</v>
      </c>
      <c r="H103" s="56">
        <v>43100</v>
      </c>
      <c r="I103" s="24">
        <v>5219.6749999999993</v>
      </c>
      <c r="J103" s="77"/>
    </row>
    <row r="104" spans="1:11" x14ac:dyDescent="0.25">
      <c r="A104" s="115">
        <v>97</v>
      </c>
      <c r="B104" s="60" t="s">
        <v>604</v>
      </c>
      <c r="C104" s="10" t="str">
        <f>"17-SU-617/17"</f>
        <v>17-SU-617/17</v>
      </c>
      <c r="D104" s="56">
        <v>42954</v>
      </c>
      <c r="E104" s="56">
        <v>43281</v>
      </c>
      <c r="F104" s="8">
        <v>48238.03</v>
      </c>
      <c r="G104" s="8">
        <v>60297.54</v>
      </c>
      <c r="H104" s="56">
        <v>43100</v>
      </c>
      <c r="I104" s="24">
        <v>25221.525000000001</v>
      </c>
      <c r="J104" s="77"/>
    </row>
    <row r="105" spans="1:11" x14ac:dyDescent="0.25">
      <c r="A105" s="115">
        <v>98</v>
      </c>
      <c r="B105" s="60" t="s">
        <v>478</v>
      </c>
      <c r="C105" s="10" t="str">
        <f>"7-II/2-2017"</f>
        <v>7-II/2-2017</v>
      </c>
      <c r="D105" s="56">
        <v>42999</v>
      </c>
      <c r="E105" s="56">
        <v>43646</v>
      </c>
      <c r="F105" s="8">
        <v>57215</v>
      </c>
      <c r="G105" s="8">
        <v>71518.75</v>
      </c>
      <c r="H105" s="56">
        <v>43100</v>
      </c>
      <c r="I105" s="24">
        <v>337.5</v>
      </c>
      <c r="J105" s="77"/>
    </row>
    <row r="106" spans="1:11" ht="24" x14ac:dyDescent="0.25">
      <c r="A106" s="115">
        <v>99</v>
      </c>
      <c r="B106" s="60" t="s">
        <v>613</v>
      </c>
      <c r="C106" s="10" t="str">
        <f>"535-07/01-17-135"</f>
        <v>535-07/01-17-135</v>
      </c>
      <c r="D106" s="56">
        <v>42917</v>
      </c>
      <c r="E106" s="56">
        <v>43708</v>
      </c>
      <c r="F106" s="8">
        <v>748563</v>
      </c>
      <c r="G106" s="8">
        <v>935703.75</v>
      </c>
      <c r="H106" s="56">
        <v>43100</v>
      </c>
      <c r="I106" s="24">
        <v>50502.0625</v>
      </c>
      <c r="J106" s="77"/>
    </row>
    <row r="107" spans="1:11" ht="36" x14ac:dyDescent="0.25">
      <c r="A107" s="115">
        <v>100</v>
      </c>
      <c r="B107" s="60" t="s">
        <v>681</v>
      </c>
      <c r="C107" s="10" t="str">
        <f>"2017-2"</f>
        <v>2017-2</v>
      </c>
      <c r="D107" s="56">
        <v>42943</v>
      </c>
      <c r="E107" s="56">
        <v>43646</v>
      </c>
      <c r="F107" s="8">
        <v>35904.300000000003</v>
      </c>
      <c r="G107" s="8">
        <v>44880.38</v>
      </c>
      <c r="H107" s="56">
        <v>43100</v>
      </c>
      <c r="I107" s="24">
        <v>8367.1375000000007</v>
      </c>
      <c r="J107" s="77"/>
    </row>
    <row r="108" spans="1:11" ht="24" x14ac:dyDescent="0.25">
      <c r="A108" s="115">
        <v>101</v>
      </c>
      <c r="B108" s="60" t="s">
        <v>926</v>
      </c>
      <c r="C108" s="10" t="str">
        <f>"02-57/2017"</f>
        <v>02-57/2017</v>
      </c>
      <c r="D108" s="56">
        <v>42985</v>
      </c>
      <c r="E108" s="56">
        <v>43646</v>
      </c>
      <c r="F108" s="8">
        <v>110788.06</v>
      </c>
      <c r="G108" s="8">
        <v>138485.07999999999</v>
      </c>
      <c r="H108" s="56">
        <v>43100</v>
      </c>
      <c r="I108" s="24">
        <v>16764.849999999999</v>
      </c>
      <c r="J108" s="77"/>
    </row>
    <row r="109" spans="1:11" ht="24" x14ac:dyDescent="0.25">
      <c r="A109" s="115">
        <v>102</v>
      </c>
      <c r="B109" s="60" t="s">
        <v>875</v>
      </c>
      <c r="C109" s="10" t="str">
        <f>"030-08/17-01/3"</f>
        <v>030-08/17-01/3</v>
      </c>
      <c r="D109" s="56">
        <v>42863</v>
      </c>
      <c r="E109" s="56">
        <v>43281</v>
      </c>
      <c r="F109" s="8">
        <v>43717</v>
      </c>
      <c r="G109" s="8">
        <v>54646.25</v>
      </c>
      <c r="H109" s="56">
        <v>43100</v>
      </c>
      <c r="I109" s="24">
        <v>6440.2999999999993</v>
      </c>
      <c r="J109" s="77"/>
      <c r="K109" s="48"/>
    </row>
    <row r="110" spans="1:11" ht="24" x14ac:dyDescent="0.25">
      <c r="A110" s="115">
        <v>103</v>
      </c>
      <c r="B110" s="60" t="s">
        <v>193</v>
      </c>
      <c r="C110" s="10" t="str">
        <f>"26-10-17-1"</f>
        <v>26-10-17-1</v>
      </c>
      <c r="D110" s="56">
        <v>42969</v>
      </c>
      <c r="E110" s="56">
        <v>43646</v>
      </c>
      <c r="F110" s="8">
        <v>200472.2</v>
      </c>
      <c r="G110" s="8">
        <v>250590.25</v>
      </c>
      <c r="H110" s="56">
        <v>43100</v>
      </c>
      <c r="I110" s="24">
        <v>24962.550000000003</v>
      </c>
      <c r="J110" s="77"/>
    </row>
    <row r="111" spans="1:11" ht="36" x14ac:dyDescent="0.25">
      <c r="A111" s="115">
        <v>104</v>
      </c>
      <c r="B111" s="60" t="s">
        <v>927</v>
      </c>
      <c r="C111" s="10" t="str">
        <f>"740-06/17-01/01, 251-64-01-17-"</f>
        <v>740-06/17-01/01, 251-64-01-17-</v>
      </c>
      <c r="D111" s="56">
        <v>42985</v>
      </c>
      <c r="E111" s="56">
        <v>43646</v>
      </c>
      <c r="F111" s="8">
        <v>46800</v>
      </c>
      <c r="G111" s="8">
        <v>58500</v>
      </c>
      <c r="H111" s="56">
        <v>43008</v>
      </c>
      <c r="I111" s="24">
        <v>289.63749999999999</v>
      </c>
      <c r="J111" s="77"/>
    </row>
    <row r="112" spans="1:11" x14ac:dyDescent="0.25">
      <c r="A112" s="115">
        <v>105</v>
      </c>
      <c r="B112" s="60" t="s">
        <v>707</v>
      </c>
      <c r="C112" s="10" t="str">
        <f>"17 SU-306/17"</f>
        <v>17 SU-306/17</v>
      </c>
      <c r="D112" s="56">
        <v>42992</v>
      </c>
      <c r="E112" s="56">
        <v>43646</v>
      </c>
      <c r="F112" s="8">
        <v>24480.16</v>
      </c>
      <c r="G112" s="8">
        <v>30600.2</v>
      </c>
      <c r="H112" s="56">
        <v>43100</v>
      </c>
      <c r="I112" s="24">
        <v>1575</v>
      </c>
      <c r="J112" s="77"/>
    </row>
    <row r="113" spans="1:10" ht="24" x14ac:dyDescent="0.25">
      <c r="A113" s="115">
        <v>106</v>
      </c>
      <c r="B113" s="60" t="s">
        <v>928</v>
      </c>
      <c r="C113" s="10" t="str">
        <f>"01-2017"</f>
        <v>01-2017</v>
      </c>
      <c r="D113" s="56">
        <v>42901</v>
      </c>
      <c r="E113" s="56">
        <v>43646</v>
      </c>
      <c r="F113" s="8">
        <v>18.02</v>
      </c>
      <c r="G113" s="8">
        <v>22.53</v>
      </c>
      <c r="H113" s="56">
        <v>43100</v>
      </c>
      <c r="I113" s="24">
        <v>81.525000000000006</v>
      </c>
      <c r="J113" s="77"/>
    </row>
    <row r="114" spans="1:10" ht="24" x14ac:dyDescent="0.25">
      <c r="A114" s="115">
        <v>107</v>
      </c>
      <c r="B114" s="60" t="s">
        <v>750</v>
      </c>
      <c r="C114" s="10" t="str">
        <f>"251-56-01-17-43-1-105"</f>
        <v>251-56-01-17-43-1-105</v>
      </c>
      <c r="D114" s="56">
        <v>42917</v>
      </c>
      <c r="E114" s="56">
        <v>43281</v>
      </c>
      <c r="F114" s="8">
        <v>631461.59</v>
      </c>
      <c r="G114" s="8">
        <v>789326.99</v>
      </c>
      <c r="H114" s="56">
        <v>43100</v>
      </c>
      <c r="I114" s="24">
        <v>155658.98749999999</v>
      </c>
      <c r="J114" s="77"/>
    </row>
    <row r="115" spans="1:10" ht="24" x14ac:dyDescent="0.25">
      <c r="A115" s="115">
        <v>108</v>
      </c>
      <c r="B115" s="60" t="s">
        <v>545</v>
      </c>
      <c r="C115" s="10" t="str">
        <f>"402-08/17-01/03"</f>
        <v>402-08/17-01/03</v>
      </c>
      <c r="D115" s="10" t="s">
        <v>931</v>
      </c>
      <c r="E115" s="56">
        <v>43646</v>
      </c>
      <c r="F115" s="8">
        <v>836242.8</v>
      </c>
      <c r="G115" s="8">
        <v>1045303.5</v>
      </c>
      <c r="H115" s="56">
        <v>43100</v>
      </c>
      <c r="I115" s="24">
        <v>120197.54999999999</v>
      </c>
      <c r="J115" s="77"/>
    </row>
    <row r="116" spans="1:10" ht="36" x14ac:dyDescent="0.25">
      <c r="A116" s="115">
        <v>109</v>
      </c>
      <c r="B116" s="60" t="s">
        <v>206</v>
      </c>
      <c r="C116" s="10" t="str">
        <f>"OPSKRBA PRIR.PLINOM GRUPA 23"</f>
        <v>OPSKRBA PRIR.PLINOM GRUPA 23</v>
      </c>
      <c r="D116" s="56">
        <v>42923</v>
      </c>
      <c r="E116" s="56">
        <v>43647</v>
      </c>
      <c r="F116" s="8">
        <v>128000</v>
      </c>
      <c r="G116" s="8">
        <v>160000</v>
      </c>
      <c r="H116" s="56">
        <v>43100</v>
      </c>
      <c r="I116" s="24">
        <v>6256.4874999999993</v>
      </c>
      <c r="J116" s="77"/>
    </row>
    <row r="117" spans="1:10" ht="24" x14ac:dyDescent="0.25">
      <c r="A117" s="115">
        <v>110</v>
      </c>
      <c r="B117" s="60" t="s">
        <v>888</v>
      </c>
      <c r="C117" s="10" t="str">
        <f>"936-17"</f>
        <v>936-17</v>
      </c>
      <c r="D117" s="56">
        <v>42916</v>
      </c>
      <c r="E117" s="56">
        <v>43646</v>
      </c>
      <c r="F117" s="8">
        <v>0</v>
      </c>
      <c r="G117" s="8">
        <v>0</v>
      </c>
      <c r="H117" s="56">
        <v>43100</v>
      </c>
      <c r="I117" s="24">
        <v>60774.274999999994</v>
      </c>
      <c r="J117" s="77"/>
    </row>
    <row r="118" spans="1:10" ht="24" x14ac:dyDescent="0.25">
      <c r="A118" s="115">
        <v>111</v>
      </c>
      <c r="B118" s="60" t="s">
        <v>929</v>
      </c>
      <c r="C118" s="10" t="str">
        <f>"07/17"</f>
        <v>07/17</v>
      </c>
      <c r="D118" s="56">
        <v>43020</v>
      </c>
      <c r="E118" s="56">
        <v>42916</v>
      </c>
      <c r="F118" s="8">
        <v>467526.28</v>
      </c>
      <c r="G118" s="8">
        <v>584407.85</v>
      </c>
      <c r="H118" s="56">
        <v>43100</v>
      </c>
      <c r="I118" s="24">
        <v>98143.625</v>
      </c>
      <c r="J118" s="77"/>
    </row>
    <row r="119" spans="1:10" ht="24" x14ac:dyDescent="0.25">
      <c r="A119" s="115">
        <v>112</v>
      </c>
      <c r="B119" s="60" t="s">
        <v>847</v>
      </c>
      <c r="C119" s="10" t="str">
        <f>"406-01/17-02/5"</f>
        <v>406-01/17-02/5</v>
      </c>
      <c r="D119" s="56">
        <v>42965</v>
      </c>
      <c r="E119" s="56">
        <v>43646</v>
      </c>
      <c r="F119" s="8">
        <v>48386.66</v>
      </c>
      <c r="G119" s="8">
        <v>60483.32</v>
      </c>
      <c r="H119" s="56">
        <v>43100</v>
      </c>
      <c r="I119" s="24">
        <v>10682.037499999999</v>
      </c>
      <c r="J119" s="77"/>
    </row>
    <row r="120" spans="1:10" ht="36" x14ac:dyDescent="0.25">
      <c r="A120" s="115">
        <v>113</v>
      </c>
      <c r="B120" s="60" t="s">
        <v>806</v>
      </c>
      <c r="C120" s="10" t="str">
        <f>"900-06/17-03/01"</f>
        <v>900-06/17-03/01</v>
      </c>
      <c r="D120" s="56">
        <v>42917</v>
      </c>
      <c r="E120" s="56">
        <v>43646</v>
      </c>
      <c r="F120" s="8">
        <v>297716.86</v>
      </c>
      <c r="G120" s="8">
        <v>372146.08</v>
      </c>
      <c r="H120" s="56">
        <v>43100</v>
      </c>
      <c r="I120" s="24">
        <v>178912.91249999998</v>
      </c>
      <c r="J120" s="77"/>
    </row>
    <row r="121" spans="1:10" x14ac:dyDescent="0.25">
      <c r="A121" s="115">
        <v>114</v>
      </c>
      <c r="B121" s="60" t="s">
        <v>687</v>
      </c>
      <c r="C121" s="10" t="str">
        <f>"17 SU - 629/17"</f>
        <v>17 SU - 629/17</v>
      </c>
      <c r="D121" s="56">
        <v>42997</v>
      </c>
      <c r="E121" s="56">
        <v>43646</v>
      </c>
      <c r="F121" s="8">
        <v>8584</v>
      </c>
      <c r="G121" s="8">
        <v>10730</v>
      </c>
      <c r="H121" s="56">
        <v>43100</v>
      </c>
      <c r="I121" s="24">
        <v>2485.9250000000002</v>
      </c>
      <c r="J121" s="77"/>
    </row>
    <row r="122" spans="1:10" ht="24" x14ac:dyDescent="0.25">
      <c r="A122" s="115">
        <v>115</v>
      </c>
      <c r="B122" s="60" t="s">
        <v>195</v>
      </c>
      <c r="C122" s="10" t="str">
        <f>"406-09/17-04/58"</f>
        <v>406-09/17-04/58</v>
      </c>
      <c r="D122" s="56">
        <v>42991</v>
      </c>
      <c r="E122" s="56">
        <v>43281</v>
      </c>
      <c r="F122" s="8">
        <v>4636339.3099999996</v>
      </c>
      <c r="G122" s="8">
        <v>5795424.1399999997</v>
      </c>
      <c r="H122" s="56">
        <v>43100</v>
      </c>
      <c r="I122" s="24">
        <v>1810927.7625</v>
      </c>
      <c r="J122" s="77"/>
    </row>
    <row r="123" spans="1:10" ht="24" x14ac:dyDescent="0.25">
      <c r="A123" s="115">
        <v>116</v>
      </c>
      <c r="B123" s="60" t="s">
        <v>195</v>
      </c>
      <c r="C123" s="10" t="str">
        <f>"511-06-01-1877-1/17."</f>
        <v>511-06-01-1877-1/17.</v>
      </c>
      <c r="D123" s="56">
        <v>42943</v>
      </c>
      <c r="E123" s="56">
        <v>43281</v>
      </c>
      <c r="F123" s="8">
        <v>339115.05</v>
      </c>
      <c r="G123" s="8">
        <v>423893.81</v>
      </c>
      <c r="H123" s="56">
        <v>43100</v>
      </c>
      <c r="I123" s="24">
        <v>139837.42499999999</v>
      </c>
      <c r="J123" s="77"/>
    </row>
    <row r="124" spans="1:10" ht="24" x14ac:dyDescent="0.25">
      <c r="A124" s="115">
        <v>117</v>
      </c>
      <c r="B124" s="60" t="s">
        <v>195</v>
      </c>
      <c r="C124" s="10" t="str">
        <f>"511-19-18/1-8787/17"</f>
        <v>511-19-18/1-8787/17</v>
      </c>
      <c r="D124" s="56">
        <v>42957</v>
      </c>
      <c r="E124" s="56">
        <v>43281</v>
      </c>
      <c r="F124" s="8">
        <v>854636.2</v>
      </c>
      <c r="G124" s="8">
        <v>1068295.25</v>
      </c>
      <c r="H124" s="56">
        <v>43100</v>
      </c>
      <c r="I124" s="24">
        <v>471528.11249999999</v>
      </c>
      <c r="J124" s="77"/>
    </row>
    <row r="125" spans="1:10" ht="24" x14ac:dyDescent="0.25">
      <c r="A125" s="115">
        <v>118</v>
      </c>
      <c r="B125" s="60" t="s">
        <v>195</v>
      </c>
      <c r="C125" s="10" t="str">
        <f>"511-08-15-2967-17."</f>
        <v>511-08-15-2967-17.</v>
      </c>
      <c r="D125" s="56">
        <v>42942</v>
      </c>
      <c r="E125" s="56">
        <v>43281</v>
      </c>
      <c r="F125" s="8">
        <v>1430.08</v>
      </c>
      <c r="G125" s="8">
        <v>1787.6</v>
      </c>
      <c r="H125" s="56">
        <v>43100</v>
      </c>
      <c r="I125" s="24">
        <v>519.08749999999998</v>
      </c>
      <c r="J125" s="77"/>
    </row>
    <row r="126" spans="1:10" ht="24" x14ac:dyDescent="0.25">
      <c r="A126" s="115">
        <v>119</v>
      </c>
      <c r="B126" s="60" t="s">
        <v>195</v>
      </c>
      <c r="C126" s="10" t="str">
        <f>"511-21-04/2-2630-17."</f>
        <v>511-21-04/2-2630-17.</v>
      </c>
      <c r="D126" s="56">
        <v>42940</v>
      </c>
      <c r="E126" s="56">
        <v>43281</v>
      </c>
      <c r="F126" s="8">
        <v>384000</v>
      </c>
      <c r="G126" s="8">
        <v>480000</v>
      </c>
      <c r="H126" s="56">
        <v>43100</v>
      </c>
      <c r="I126" s="24">
        <v>194523.84999999998</v>
      </c>
      <c r="J126" s="77"/>
    </row>
    <row r="127" spans="1:10" ht="24" x14ac:dyDescent="0.25">
      <c r="A127" s="115">
        <v>120</v>
      </c>
      <c r="B127" s="60" t="s">
        <v>195</v>
      </c>
      <c r="C127" s="10" t="str">
        <f>"511-09-16/3-142-115/2017."</f>
        <v>511-09-16/3-142-115/2017.</v>
      </c>
      <c r="D127" s="56">
        <v>42944</v>
      </c>
      <c r="E127" s="56">
        <v>43282</v>
      </c>
      <c r="F127" s="8">
        <v>300200</v>
      </c>
      <c r="G127" s="8">
        <v>375250</v>
      </c>
      <c r="H127" s="56">
        <v>43100</v>
      </c>
      <c r="I127" s="24">
        <v>154878.32500000001</v>
      </c>
      <c r="J127" s="77"/>
    </row>
    <row r="128" spans="1:10" ht="24" x14ac:dyDescent="0.25">
      <c r="A128" s="115">
        <v>121</v>
      </c>
      <c r="B128" s="60" t="s">
        <v>195</v>
      </c>
      <c r="C128" s="10" t="str">
        <f>"511-14-01/3562-1/17."</f>
        <v>511-14-01/3562-1/17.</v>
      </c>
      <c r="D128" s="56">
        <v>42917</v>
      </c>
      <c r="E128" s="56">
        <v>43281</v>
      </c>
      <c r="F128" s="8">
        <v>50436.08</v>
      </c>
      <c r="G128" s="8">
        <v>63045.1</v>
      </c>
      <c r="H128" s="56">
        <v>43100</v>
      </c>
      <c r="I128" s="24">
        <v>27470.987500000003</v>
      </c>
      <c r="J128" s="77"/>
    </row>
    <row r="129" spans="1:14" ht="15" customHeight="1" x14ac:dyDescent="0.25">
      <c r="A129" s="115">
        <v>122</v>
      </c>
      <c r="B129" s="60" t="s">
        <v>195</v>
      </c>
      <c r="C129" s="10" t="str">
        <f>"511-05-05/2-04-63/10-2017."</f>
        <v>511-05-05/2-04-63/10-2017.</v>
      </c>
      <c r="D129" s="56">
        <v>42936</v>
      </c>
      <c r="E129" s="56">
        <v>43281</v>
      </c>
      <c r="F129" s="8">
        <v>1705.08</v>
      </c>
      <c r="G129" s="8">
        <v>2131.35</v>
      </c>
      <c r="H129" s="56">
        <v>43100</v>
      </c>
      <c r="I129" s="24">
        <v>974.52499999999998</v>
      </c>
      <c r="J129" s="77"/>
    </row>
    <row r="130" spans="1:14" ht="24" x14ac:dyDescent="0.25">
      <c r="A130" s="115">
        <v>123</v>
      </c>
      <c r="B130" s="60" t="s">
        <v>195</v>
      </c>
      <c r="C130" s="10" t="str">
        <f>"511-22-04-02-2-902/2-17.V.S."</f>
        <v>511-22-04-02-2-902/2-17.V.S.</v>
      </c>
      <c r="D130" s="56">
        <v>42963</v>
      </c>
      <c r="E130" s="56">
        <v>43281</v>
      </c>
      <c r="F130" s="8">
        <v>30912.400000000001</v>
      </c>
      <c r="G130" s="8">
        <v>38640.5</v>
      </c>
      <c r="H130" s="56">
        <v>43100</v>
      </c>
      <c r="I130" s="24">
        <v>18772.962500000001</v>
      </c>
      <c r="J130" s="77"/>
      <c r="K130" s="48"/>
    </row>
    <row r="131" spans="1:14" ht="36" x14ac:dyDescent="0.25">
      <c r="A131" s="115">
        <v>124</v>
      </c>
      <c r="B131" s="60" t="s">
        <v>807</v>
      </c>
      <c r="C131" s="10" t="str">
        <f>"OPMV/1/2017"</f>
        <v>OPMV/1/2017</v>
      </c>
      <c r="D131" s="56">
        <v>42917</v>
      </c>
      <c r="E131" s="56">
        <v>43646</v>
      </c>
      <c r="F131" s="8">
        <v>488199.32</v>
      </c>
      <c r="G131" s="8">
        <v>610249.15</v>
      </c>
      <c r="H131" s="56">
        <v>43008</v>
      </c>
      <c r="I131" s="24">
        <v>2215.4375</v>
      </c>
      <c r="J131" s="77"/>
    </row>
    <row r="132" spans="1:14" x14ac:dyDescent="0.25">
      <c r="A132" s="115">
        <v>125</v>
      </c>
      <c r="B132" s="81" t="s">
        <v>555</v>
      </c>
      <c r="C132" s="10" t="str">
        <f>"001-02-17-1"</f>
        <v>001-02-17-1</v>
      </c>
      <c r="D132" s="56">
        <v>42917</v>
      </c>
      <c r="E132" s="56">
        <v>43593</v>
      </c>
      <c r="F132" s="8">
        <v>215000</v>
      </c>
      <c r="G132" s="8">
        <v>268750</v>
      </c>
      <c r="H132" s="56">
        <v>43100</v>
      </c>
      <c r="I132" s="61">
        <v>51015.5</v>
      </c>
      <c r="J132" s="78"/>
    </row>
    <row r="133" spans="1:14" ht="24" x14ac:dyDescent="0.25">
      <c r="A133" s="115">
        <v>126</v>
      </c>
      <c r="B133" s="60" t="s">
        <v>652</v>
      </c>
      <c r="C133" s="10" t="str">
        <f>"41SU-437/2017"</f>
        <v>41SU-437/2017</v>
      </c>
      <c r="D133" s="56">
        <v>42917</v>
      </c>
      <c r="E133" s="56">
        <v>43646</v>
      </c>
      <c r="F133" s="8">
        <v>44226.720000000001</v>
      </c>
      <c r="G133" s="8">
        <v>55283.4</v>
      </c>
      <c r="H133" s="56">
        <v>43100</v>
      </c>
      <c r="I133" s="37">
        <v>5423.75</v>
      </c>
      <c r="J133" s="72"/>
    </row>
    <row r="134" spans="1:14" ht="49.5" customHeight="1" x14ac:dyDescent="0.25">
      <c r="A134" s="115">
        <v>127</v>
      </c>
      <c r="B134" s="60" t="s">
        <v>468</v>
      </c>
      <c r="C134" s="10" t="str">
        <f>"2/2017-Z"</f>
        <v>2/2017-Z</v>
      </c>
      <c r="D134" s="56">
        <v>42917</v>
      </c>
      <c r="E134" s="56">
        <v>43646</v>
      </c>
      <c r="F134" s="8">
        <v>22500</v>
      </c>
      <c r="G134" s="8">
        <v>28125</v>
      </c>
      <c r="H134" s="56">
        <v>43100</v>
      </c>
      <c r="I134" s="37">
        <v>955.21249999999998</v>
      </c>
      <c r="J134" s="72"/>
    </row>
    <row r="135" spans="1:14" ht="24" x14ac:dyDescent="0.25">
      <c r="A135" s="115">
        <v>128</v>
      </c>
      <c r="B135" s="60" t="s">
        <v>930</v>
      </c>
      <c r="C135" s="10" t="str">
        <f>"KLASA: 030-01-01/17-01-21"</f>
        <v>KLASA: 030-01-01/17-01-21</v>
      </c>
      <c r="D135" s="56">
        <v>42948</v>
      </c>
      <c r="E135" s="56">
        <v>43677</v>
      </c>
      <c r="F135" s="8">
        <v>210694</v>
      </c>
      <c r="G135" s="8">
        <v>263367.5</v>
      </c>
      <c r="H135" s="56">
        <v>43100</v>
      </c>
      <c r="I135" s="37">
        <v>11867.887499999999</v>
      </c>
      <c r="J135" s="72"/>
    </row>
    <row r="136" spans="1:14" x14ac:dyDescent="0.25">
      <c r="A136" s="115">
        <v>129</v>
      </c>
      <c r="B136" s="60" t="s">
        <v>883</v>
      </c>
      <c r="C136" s="10" t="str">
        <f>"6220"</f>
        <v>6220</v>
      </c>
      <c r="D136" s="56">
        <v>42941</v>
      </c>
      <c r="E136" s="56">
        <v>43646</v>
      </c>
      <c r="F136" s="8">
        <v>36000</v>
      </c>
      <c r="G136" s="8">
        <v>45000</v>
      </c>
      <c r="H136" s="56">
        <v>43100</v>
      </c>
      <c r="I136" s="37">
        <v>2793.625</v>
      </c>
      <c r="J136" s="72"/>
    </row>
    <row r="137" spans="1:14" ht="7.5" customHeight="1" x14ac:dyDescent="0.25"/>
    <row r="138" spans="1:14" x14ac:dyDescent="0.25">
      <c r="A138" s="175" t="s">
        <v>181</v>
      </c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</row>
    <row r="139" spans="1:14" ht="36" x14ac:dyDescent="0.25">
      <c r="A139" s="53" t="s">
        <v>0</v>
      </c>
      <c r="B139" s="54" t="s">
        <v>1</v>
      </c>
      <c r="C139" s="54" t="s">
        <v>3</v>
      </c>
      <c r="D139" s="178" t="s">
        <v>171</v>
      </c>
      <c r="E139" s="178"/>
      <c r="F139" s="54" t="s">
        <v>166</v>
      </c>
      <c r="G139" s="54" t="s">
        <v>170</v>
      </c>
      <c r="H139" s="54" t="s">
        <v>167</v>
      </c>
      <c r="I139" s="54" t="s">
        <v>4</v>
      </c>
      <c r="J139" s="54" t="s">
        <v>5</v>
      </c>
      <c r="K139" s="54" t="s">
        <v>2</v>
      </c>
      <c r="L139" s="54" t="s">
        <v>172</v>
      </c>
      <c r="M139" s="54" t="s">
        <v>173</v>
      </c>
      <c r="N139" s="54" t="s">
        <v>169</v>
      </c>
    </row>
    <row r="140" spans="1:14" x14ac:dyDescent="0.25">
      <c r="A140" s="1">
        <v>1</v>
      </c>
      <c r="B140" s="4" t="s">
        <v>130</v>
      </c>
      <c r="C140" s="14" t="s">
        <v>132</v>
      </c>
      <c r="D140" s="193" t="s">
        <v>1033</v>
      </c>
      <c r="E140" s="193"/>
      <c r="F140" s="38" t="s">
        <v>151</v>
      </c>
      <c r="G140" s="38" t="s">
        <v>1004</v>
      </c>
      <c r="H140" s="1" t="s">
        <v>15</v>
      </c>
      <c r="I140" s="15">
        <v>42863</v>
      </c>
      <c r="J140" s="1" t="s">
        <v>51</v>
      </c>
      <c r="K140" s="8">
        <v>4496277.4600000009</v>
      </c>
      <c r="L140" s="8">
        <f>K140*0.25</f>
        <v>1124069.3650000002</v>
      </c>
      <c r="M140" s="8">
        <f>K140+L140</f>
        <v>5620346.8250000011</v>
      </c>
      <c r="N140" s="176"/>
    </row>
    <row r="141" spans="1:14" ht="15" customHeight="1" x14ac:dyDescent="0.25">
      <c r="A141" s="177" t="s">
        <v>1012</v>
      </c>
      <c r="B141" s="177"/>
      <c r="C141" s="177"/>
      <c r="D141" s="177"/>
      <c r="E141" s="177"/>
      <c r="F141" s="177"/>
      <c r="G141" s="177"/>
      <c r="H141" s="177"/>
      <c r="I141" s="177"/>
      <c r="J141" s="177"/>
      <c r="K141" s="177"/>
      <c r="L141" s="177"/>
      <c r="M141" s="8">
        <v>1168155.2</v>
      </c>
      <c r="N141" s="176"/>
    </row>
    <row r="142" spans="1:14" ht="7.5" customHeight="1" x14ac:dyDescent="0.25">
      <c r="L142" s="47"/>
    </row>
    <row r="143" spans="1:14" ht="15" customHeight="1" x14ac:dyDescent="0.25">
      <c r="A143" s="175" t="s">
        <v>12</v>
      </c>
      <c r="B143" s="175"/>
      <c r="C143" s="175"/>
      <c r="D143" s="175"/>
      <c r="E143" s="175"/>
      <c r="F143" s="175"/>
      <c r="G143" s="175"/>
      <c r="H143" s="175"/>
      <c r="I143" s="175"/>
      <c r="J143" s="175"/>
      <c r="K143" s="49"/>
      <c r="L143" s="49"/>
    </row>
    <row r="144" spans="1:14" ht="48" customHeight="1" x14ac:dyDescent="0.25">
      <c r="A144" s="2" t="s">
        <v>0</v>
      </c>
      <c r="B144" s="3" t="s">
        <v>7</v>
      </c>
      <c r="C144" s="3" t="s">
        <v>6</v>
      </c>
      <c r="D144" s="3" t="s">
        <v>8</v>
      </c>
      <c r="E144" s="3" t="s">
        <v>168</v>
      </c>
      <c r="F144" s="3" t="s">
        <v>174</v>
      </c>
      <c r="G144" s="3" t="s">
        <v>175</v>
      </c>
      <c r="H144" s="3" t="s">
        <v>9</v>
      </c>
      <c r="I144" s="3" t="s">
        <v>176</v>
      </c>
      <c r="J144" s="3" t="s">
        <v>10</v>
      </c>
      <c r="K144" s="48"/>
      <c r="L144" s="48"/>
      <c r="M144" s="48"/>
    </row>
    <row r="145" spans="1:10" ht="24" x14ac:dyDescent="0.25">
      <c r="A145" s="38">
        <v>1</v>
      </c>
      <c r="B145" s="60" t="s">
        <v>595</v>
      </c>
      <c r="C145" s="10" t="str">
        <f>"406-01/17-01/27"</f>
        <v>406-01/17-01/27</v>
      </c>
      <c r="D145" s="56">
        <v>43004</v>
      </c>
      <c r="E145" s="56">
        <v>43373</v>
      </c>
      <c r="F145" s="8">
        <v>65860.7</v>
      </c>
      <c r="G145" s="8">
        <v>82325.88</v>
      </c>
      <c r="H145" s="162"/>
      <c r="I145" s="167">
        <v>0</v>
      </c>
      <c r="J145" s="77"/>
    </row>
    <row r="146" spans="1:10" ht="24" x14ac:dyDescent="0.25">
      <c r="A146" s="115">
        <v>2</v>
      </c>
      <c r="B146" s="60" t="s">
        <v>210</v>
      </c>
      <c r="C146" s="10" t="str">
        <f>"PU - 406-01/17-01/142, 17-6"</f>
        <v>PU - 406-01/17-01/142, 17-6</v>
      </c>
      <c r="D146" s="56">
        <v>43035</v>
      </c>
      <c r="E146" s="56">
        <v>43374</v>
      </c>
      <c r="F146" s="8">
        <v>72680</v>
      </c>
      <c r="G146" s="8">
        <v>90850</v>
      </c>
      <c r="H146" s="162"/>
      <c r="I146" s="167">
        <v>0</v>
      </c>
      <c r="J146" s="77"/>
    </row>
    <row r="147" spans="1:10" x14ac:dyDescent="0.25">
      <c r="A147" s="115">
        <v>3</v>
      </c>
      <c r="B147" s="60" t="s">
        <v>632</v>
      </c>
      <c r="C147" s="10" t="str">
        <f>"353/17"</f>
        <v>353/17</v>
      </c>
      <c r="D147" s="56">
        <v>43035</v>
      </c>
      <c r="E147" s="56">
        <v>43373</v>
      </c>
      <c r="F147" s="8">
        <v>3458.07</v>
      </c>
      <c r="G147" s="8">
        <v>4322.59</v>
      </c>
      <c r="H147" s="56">
        <v>43100</v>
      </c>
      <c r="I147" s="24">
        <v>857.875</v>
      </c>
      <c r="J147" s="77"/>
    </row>
    <row r="148" spans="1:10" ht="24" x14ac:dyDescent="0.25">
      <c r="A148" s="115">
        <v>4</v>
      </c>
      <c r="B148" s="60" t="s">
        <v>592</v>
      </c>
      <c r="C148" s="10" t="str">
        <f>"10-231-08/04-2017"</f>
        <v>10-231-08/04-2017</v>
      </c>
      <c r="D148" s="56">
        <v>42979</v>
      </c>
      <c r="E148" s="56">
        <v>43708</v>
      </c>
      <c r="F148" s="8">
        <v>8663.7999999999993</v>
      </c>
      <c r="G148" s="8">
        <v>10829.75</v>
      </c>
      <c r="H148" s="56">
        <v>43100</v>
      </c>
      <c r="I148" s="24">
        <v>1517.175</v>
      </c>
      <c r="J148" s="77"/>
    </row>
    <row r="149" spans="1:10" ht="24" x14ac:dyDescent="0.25">
      <c r="A149" s="115">
        <v>5</v>
      </c>
      <c r="B149" s="60" t="s">
        <v>543</v>
      </c>
      <c r="C149" s="10" t="str">
        <f>"303-01/17-01/41"</f>
        <v>303-01/17-01/41</v>
      </c>
      <c r="D149" s="56">
        <v>42979</v>
      </c>
      <c r="E149" s="56">
        <v>43708</v>
      </c>
      <c r="F149" s="8">
        <v>211054.07999999999</v>
      </c>
      <c r="G149" s="8">
        <v>263817.59999999998</v>
      </c>
      <c r="H149" s="56">
        <v>43100</v>
      </c>
      <c r="I149" s="24">
        <v>220398.15</v>
      </c>
      <c r="J149" s="77"/>
    </row>
    <row r="150" spans="1:10" ht="36" x14ac:dyDescent="0.25">
      <c r="A150" s="115">
        <v>6</v>
      </c>
      <c r="B150" s="60" t="s">
        <v>720</v>
      </c>
      <c r="C150" s="10" t="str">
        <f>"249/17, KL:UP/I-030-01/17-03-1"</f>
        <v>249/17, KL:UP/I-030-01/17-03-1</v>
      </c>
      <c r="D150" s="56">
        <v>42922</v>
      </c>
      <c r="E150" s="56">
        <v>43312</v>
      </c>
      <c r="F150" s="8">
        <v>148389.79999999999</v>
      </c>
      <c r="G150" s="8">
        <v>185487.25</v>
      </c>
      <c r="H150" s="56">
        <v>43100</v>
      </c>
      <c r="I150" s="24">
        <v>43344.837500000001</v>
      </c>
      <c r="J150" s="77"/>
    </row>
    <row r="151" spans="1:10" x14ac:dyDescent="0.25">
      <c r="A151" s="115">
        <v>7</v>
      </c>
      <c r="B151" s="60" t="s">
        <v>582</v>
      </c>
      <c r="C151" s="10" t="str">
        <f>"257/2017"</f>
        <v>257/2017</v>
      </c>
      <c r="D151" s="56">
        <v>42921</v>
      </c>
      <c r="E151" s="56">
        <v>43312</v>
      </c>
      <c r="F151" s="8">
        <v>1805.86</v>
      </c>
      <c r="G151" s="8">
        <v>2257.33</v>
      </c>
      <c r="H151" s="56">
        <v>43100</v>
      </c>
      <c r="I151" s="24">
        <v>576.04999999999995</v>
      </c>
      <c r="J151" s="77"/>
    </row>
    <row r="152" spans="1:10" ht="24" x14ac:dyDescent="0.25">
      <c r="A152" s="115">
        <v>8</v>
      </c>
      <c r="B152" s="60" t="s">
        <v>848</v>
      </c>
      <c r="C152" s="10" t="str">
        <f>"270/2017"</f>
        <v>270/2017</v>
      </c>
      <c r="D152" s="56">
        <v>42936</v>
      </c>
      <c r="E152" s="56">
        <v>43677</v>
      </c>
      <c r="F152" s="8">
        <v>21998.05</v>
      </c>
      <c r="G152" s="8">
        <v>27497.56</v>
      </c>
      <c r="H152" s="56">
        <v>43100</v>
      </c>
      <c r="I152" s="24">
        <v>6384.25</v>
      </c>
      <c r="J152" s="77"/>
    </row>
    <row r="153" spans="1:10" x14ac:dyDescent="0.25">
      <c r="A153" s="115">
        <v>9</v>
      </c>
      <c r="B153" s="60" t="s">
        <v>713</v>
      </c>
      <c r="C153" s="10" t="str">
        <f>"239/2017"</f>
        <v>239/2017</v>
      </c>
      <c r="D153" s="56">
        <v>42937</v>
      </c>
      <c r="E153" s="56">
        <v>43646</v>
      </c>
      <c r="F153" s="8">
        <v>46243</v>
      </c>
      <c r="G153" s="8">
        <v>57803.75</v>
      </c>
      <c r="H153" s="56">
        <v>43100</v>
      </c>
      <c r="I153" s="24">
        <v>14701.25</v>
      </c>
      <c r="J153" s="77"/>
    </row>
    <row r="154" spans="1:10" ht="36" x14ac:dyDescent="0.25">
      <c r="A154" s="115">
        <v>10</v>
      </c>
      <c r="B154" s="60" t="s">
        <v>186</v>
      </c>
      <c r="C154" s="10" t="str">
        <f>"406-01/1701/0077-GRUPA 17"</f>
        <v>406-01/1701/0077-GRUPA 17</v>
      </c>
      <c r="D154" s="56">
        <v>42891</v>
      </c>
      <c r="E154" s="56">
        <v>43646</v>
      </c>
      <c r="F154" s="8">
        <v>11432.34</v>
      </c>
      <c r="G154" s="8">
        <v>14290.43</v>
      </c>
      <c r="H154" s="56">
        <v>43008</v>
      </c>
      <c r="I154" s="24">
        <v>43.987499999999997</v>
      </c>
      <c r="J154" s="77"/>
    </row>
    <row r="155" spans="1:10" x14ac:dyDescent="0.25">
      <c r="A155" s="115">
        <v>11</v>
      </c>
      <c r="B155" s="60" t="s">
        <v>512</v>
      </c>
      <c r="C155" s="10" t="str">
        <f>"254/2017"</f>
        <v>254/2017</v>
      </c>
      <c r="D155" s="56">
        <v>42906</v>
      </c>
      <c r="E155" s="56">
        <v>43646</v>
      </c>
      <c r="F155" s="8">
        <v>36813.4</v>
      </c>
      <c r="G155" s="8">
        <v>46016.75</v>
      </c>
      <c r="H155" s="56">
        <v>43100</v>
      </c>
      <c r="I155" s="24">
        <v>9253.2374999999993</v>
      </c>
      <c r="J155" s="77"/>
    </row>
    <row r="156" spans="1:10" ht="24" x14ac:dyDescent="0.25">
      <c r="A156" s="115">
        <v>12</v>
      </c>
      <c r="B156" s="60" t="s">
        <v>914</v>
      </c>
      <c r="C156" s="10" t="str">
        <f>"262/17"</f>
        <v>262/17</v>
      </c>
      <c r="D156" s="56">
        <v>42917</v>
      </c>
      <c r="E156" s="56">
        <v>43738</v>
      </c>
      <c r="F156" s="8">
        <v>310130.58</v>
      </c>
      <c r="G156" s="8">
        <v>387663.23</v>
      </c>
      <c r="H156" s="56">
        <v>43100</v>
      </c>
      <c r="I156" s="24">
        <v>91714.837499999994</v>
      </c>
      <c r="J156" s="77"/>
    </row>
    <row r="157" spans="1:10" ht="24" x14ac:dyDescent="0.25">
      <c r="A157" s="115">
        <v>13</v>
      </c>
      <c r="B157" s="60" t="s">
        <v>195</v>
      </c>
      <c r="C157" s="10" t="str">
        <f>"511-14-01/3562/17."</f>
        <v>511-14-01/3562/17.</v>
      </c>
      <c r="D157" s="56">
        <v>42917</v>
      </c>
      <c r="E157" s="56">
        <v>43281</v>
      </c>
      <c r="F157" s="8">
        <v>308629.64</v>
      </c>
      <c r="G157" s="8">
        <v>385787.05</v>
      </c>
      <c r="H157" s="56">
        <v>43100</v>
      </c>
      <c r="I157" s="24">
        <v>165830.63750000001</v>
      </c>
      <c r="J157" s="77"/>
    </row>
    <row r="158" spans="1:10" ht="24" x14ac:dyDescent="0.25">
      <c r="A158" s="115">
        <v>14</v>
      </c>
      <c r="B158" s="60" t="s">
        <v>688</v>
      </c>
      <c r="C158" s="10" t="str">
        <f>"17 SU-220/17-4"</f>
        <v>17 SU-220/17-4</v>
      </c>
      <c r="D158" s="56">
        <v>42880</v>
      </c>
      <c r="E158" s="56">
        <v>43593</v>
      </c>
      <c r="F158" s="8">
        <v>272175</v>
      </c>
      <c r="G158" s="8">
        <v>340218.75</v>
      </c>
      <c r="H158" s="56">
        <v>43100</v>
      </c>
      <c r="I158" s="24">
        <v>69839.012499999997</v>
      </c>
      <c r="J158" s="77"/>
    </row>
    <row r="159" spans="1:10" x14ac:dyDescent="0.25">
      <c r="A159" s="115">
        <v>15</v>
      </c>
      <c r="B159" s="60" t="s">
        <v>653</v>
      </c>
      <c r="C159" s="10" t="str">
        <f>"219/2017"</f>
        <v>219/2017</v>
      </c>
      <c r="D159" s="56">
        <v>42863</v>
      </c>
      <c r="E159" s="56">
        <v>43616</v>
      </c>
      <c r="F159" s="8">
        <v>262130</v>
      </c>
      <c r="G159" s="8">
        <v>327662.5</v>
      </c>
      <c r="H159" s="56">
        <v>43100</v>
      </c>
      <c r="I159" s="24">
        <v>71715.787499999991</v>
      </c>
      <c r="J159" s="77"/>
    </row>
    <row r="160" spans="1:10" x14ac:dyDescent="0.25">
      <c r="A160" s="115">
        <v>16</v>
      </c>
      <c r="B160" s="60" t="s">
        <v>596</v>
      </c>
      <c r="C160" s="10" t="str">
        <f>"207/2017"</f>
        <v>207/2017</v>
      </c>
      <c r="D160" s="56">
        <v>42885</v>
      </c>
      <c r="E160" s="56">
        <v>43252</v>
      </c>
      <c r="F160" s="8">
        <v>750000</v>
      </c>
      <c r="G160" s="8">
        <v>937500</v>
      </c>
      <c r="H160" s="56">
        <v>43100</v>
      </c>
      <c r="I160" s="24">
        <v>471978.11249999999</v>
      </c>
      <c r="J160" s="77"/>
    </row>
    <row r="161" spans="1:14" ht="24" x14ac:dyDescent="0.25">
      <c r="A161" s="115">
        <v>17</v>
      </c>
      <c r="B161" s="60" t="s">
        <v>574</v>
      </c>
      <c r="C161" s="10" t="str">
        <f>"7/2016-T/10-17"</f>
        <v>7/2016-T/10-17</v>
      </c>
      <c r="D161" s="56">
        <v>42863</v>
      </c>
      <c r="E161" s="56">
        <v>43593</v>
      </c>
      <c r="F161" s="8">
        <v>0</v>
      </c>
      <c r="G161" s="8">
        <v>0</v>
      </c>
      <c r="H161" s="56">
        <v>43100</v>
      </c>
      <c r="I161" s="24">
        <v>0</v>
      </c>
      <c r="J161" s="77"/>
    </row>
    <row r="162" spans="1:14" ht="7.5" customHeight="1" x14ac:dyDescent="0.25">
      <c r="A162" s="38"/>
      <c r="B162" s="41"/>
      <c r="C162" s="42"/>
      <c r="D162" s="42"/>
      <c r="E162" s="43"/>
      <c r="F162" s="43"/>
      <c r="G162" s="44"/>
      <c r="H162" s="43"/>
      <c r="I162" s="44"/>
      <c r="J162" s="44"/>
      <c r="K162" s="45"/>
    </row>
    <row r="163" spans="1:14" x14ac:dyDescent="0.25">
      <c r="A163" s="175" t="s">
        <v>181</v>
      </c>
      <c r="B163" s="175"/>
      <c r="C163" s="175"/>
      <c r="D163" s="175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</row>
    <row r="164" spans="1:14" ht="36" x14ac:dyDescent="0.25">
      <c r="A164" s="53" t="s">
        <v>0</v>
      </c>
      <c r="B164" s="54" t="s">
        <v>1</v>
      </c>
      <c r="C164" s="54" t="s">
        <v>3</v>
      </c>
      <c r="D164" s="178" t="s">
        <v>171</v>
      </c>
      <c r="E164" s="178"/>
      <c r="F164" s="54" t="s">
        <v>166</v>
      </c>
      <c r="G164" s="54" t="s">
        <v>170</v>
      </c>
      <c r="H164" s="54" t="s">
        <v>167</v>
      </c>
      <c r="I164" s="54" t="s">
        <v>4</v>
      </c>
      <c r="J164" s="54" t="s">
        <v>5</v>
      </c>
      <c r="K164" s="54" t="s">
        <v>2</v>
      </c>
      <c r="L164" s="54" t="s">
        <v>172</v>
      </c>
      <c r="M164" s="54" t="s">
        <v>173</v>
      </c>
      <c r="N164" s="54" t="s">
        <v>169</v>
      </c>
    </row>
    <row r="165" spans="1:14" x14ac:dyDescent="0.25">
      <c r="A165" s="1">
        <v>1</v>
      </c>
      <c r="B165" s="4" t="s">
        <v>130</v>
      </c>
      <c r="C165" s="14" t="s">
        <v>133</v>
      </c>
      <c r="D165" s="193" t="s">
        <v>1034</v>
      </c>
      <c r="E165" s="193"/>
      <c r="F165" s="38" t="s">
        <v>151</v>
      </c>
      <c r="G165" s="38" t="s">
        <v>1004</v>
      </c>
      <c r="H165" s="1" t="s">
        <v>15</v>
      </c>
      <c r="I165" s="15">
        <v>42863</v>
      </c>
      <c r="J165" s="1" t="s">
        <v>51</v>
      </c>
      <c r="K165" s="8">
        <v>9364723.4100000001</v>
      </c>
      <c r="L165" s="8">
        <f>K165*0.25</f>
        <v>2341180.8525</v>
      </c>
      <c r="M165" s="8">
        <f>K165+L165</f>
        <v>11705904.262499999</v>
      </c>
      <c r="N165" s="176"/>
    </row>
    <row r="166" spans="1:14" ht="15" customHeight="1" x14ac:dyDescent="0.25">
      <c r="A166" s="177" t="s">
        <v>1012</v>
      </c>
      <c r="B166" s="177"/>
      <c r="C166" s="177"/>
      <c r="D166" s="177"/>
      <c r="E166" s="177"/>
      <c r="F166" s="177"/>
      <c r="G166" s="177"/>
      <c r="H166" s="177"/>
      <c r="I166" s="177"/>
      <c r="J166" s="177"/>
      <c r="K166" s="177"/>
      <c r="L166" s="177"/>
      <c r="M166" s="8">
        <v>1658806.83</v>
      </c>
      <c r="N166" s="176"/>
    </row>
    <row r="167" spans="1:14" ht="7.5" customHeight="1" x14ac:dyDescent="0.25">
      <c r="L167" s="47"/>
    </row>
    <row r="168" spans="1:14" ht="15" customHeight="1" x14ac:dyDescent="0.25">
      <c r="A168" s="175" t="s">
        <v>12</v>
      </c>
      <c r="B168" s="175"/>
      <c r="C168" s="175"/>
      <c r="D168" s="175"/>
      <c r="E168" s="175"/>
      <c r="F168" s="175"/>
      <c r="G168" s="175"/>
      <c r="H168" s="175"/>
      <c r="I168" s="175"/>
      <c r="J168" s="175"/>
      <c r="K168" s="49"/>
      <c r="L168" s="49"/>
    </row>
    <row r="169" spans="1:14" ht="48" customHeight="1" x14ac:dyDescent="0.25">
      <c r="A169" s="2" t="s">
        <v>0</v>
      </c>
      <c r="B169" s="3" t="s">
        <v>7</v>
      </c>
      <c r="C169" s="3" t="s">
        <v>6</v>
      </c>
      <c r="D169" s="3" t="s">
        <v>8</v>
      </c>
      <c r="E169" s="3" t="s">
        <v>168</v>
      </c>
      <c r="F169" s="3" t="s">
        <v>174</v>
      </c>
      <c r="G169" s="3" t="s">
        <v>175</v>
      </c>
      <c r="H169" s="3" t="s">
        <v>9</v>
      </c>
      <c r="I169" s="3" t="s">
        <v>176</v>
      </c>
      <c r="J169" s="3" t="s">
        <v>10</v>
      </c>
      <c r="K169" s="48"/>
      <c r="L169" s="48"/>
      <c r="M169" s="48"/>
    </row>
    <row r="170" spans="1:14" ht="24" x14ac:dyDescent="0.25">
      <c r="A170" s="38">
        <v>1</v>
      </c>
      <c r="B170" s="60" t="s">
        <v>195</v>
      </c>
      <c r="C170" s="10" t="str">
        <f>"511-16-04-2-UG-9-2017"</f>
        <v>511-16-04-2-UG-9-2017</v>
      </c>
      <c r="D170" s="56">
        <v>43069</v>
      </c>
      <c r="E170" s="56">
        <v>43434</v>
      </c>
      <c r="F170" s="8">
        <v>54011.4</v>
      </c>
      <c r="G170" s="8">
        <v>67514.25</v>
      </c>
      <c r="H170" s="56">
        <v>43100</v>
      </c>
      <c r="I170" s="24">
        <v>13116.849999999999</v>
      </c>
      <c r="J170" s="77"/>
    </row>
    <row r="171" spans="1:14" ht="24" x14ac:dyDescent="0.25">
      <c r="A171" s="115">
        <v>2</v>
      </c>
      <c r="B171" s="60" t="s">
        <v>884</v>
      </c>
      <c r="C171" s="10" t="str">
        <f>"22/02"</f>
        <v>22/02</v>
      </c>
      <c r="D171" s="56">
        <v>43084</v>
      </c>
      <c r="E171" s="56">
        <v>43592</v>
      </c>
      <c r="F171" s="8">
        <v>2880</v>
      </c>
      <c r="G171" s="8">
        <v>3600</v>
      </c>
      <c r="H171" s="56">
        <v>43100</v>
      </c>
      <c r="I171" s="24">
        <v>12.5</v>
      </c>
      <c r="J171" s="77"/>
    </row>
    <row r="172" spans="1:14" ht="24" x14ac:dyDescent="0.25">
      <c r="A172" s="115">
        <v>3</v>
      </c>
      <c r="B172" s="60" t="s">
        <v>190</v>
      </c>
      <c r="C172" s="10" t="str">
        <f>"6902/2017"</f>
        <v>6902/2017</v>
      </c>
      <c r="D172" s="56">
        <v>43039</v>
      </c>
      <c r="E172" s="56">
        <v>43593</v>
      </c>
      <c r="F172" s="8">
        <v>363.6</v>
      </c>
      <c r="G172" s="8">
        <v>454.5</v>
      </c>
      <c r="H172" s="56">
        <v>43100</v>
      </c>
      <c r="I172" s="24">
        <v>110</v>
      </c>
      <c r="J172" s="77"/>
    </row>
    <row r="173" spans="1:14" ht="24" x14ac:dyDescent="0.25">
      <c r="A173" s="115">
        <v>4</v>
      </c>
      <c r="B173" s="60" t="s">
        <v>210</v>
      </c>
      <c r="C173" s="10" t="str">
        <f>"PU - 406-01/17-01/142, 17-7"</f>
        <v>PU - 406-01/17-01/142, 17-7</v>
      </c>
      <c r="D173" s="56">
        <v>43035</v>
      </c>
      <c r="E173" s="56">
        <v>43374</v>
      </c>
      <c r="F173" s="8">
        <v>67643.05</v>
      </c>
      <c r="G173" s="8">
        <v>84553.81</v>
      </c>
      <c r="H173" s="56">
        <v>43100</v>
      </c>
      <c r="I173" s="24">
        <v>10142.25</v>
      </c>
      <c r="J173" s="77"/>
    </row>
    <row r="174" spans="1:14" x14ac:dyDescent="0.25">
      <c r="A174" s="115">
        <v>5</v>
      </c>
      <c r="B174" s="60" t="s">
        <v>278</v>
      </c>
      <c r="C174" s="10" t="str">
        <f>"165/2017"</f>
        <v>165/2017</v>
      </c>
      <c r="D174" s="56">
        <v>43006</v>
      </c>
      <c r="E174" s="56">
        <v>43373</v>
      </c>
      <c r="F174" s="8">
        <v>28513.599999999999</v>
      </c>
      <c r="G174" s="8">
        <v>35642</v>
      </c>
      <c r="H174" s="56">
        <v>43100</v>
      </c>
      <c r="I174" s="24">
        <v>112200.65000000001</v>
      </c>
      <c r="J174" s="77"/>
    </row>
    <row r="175" spans="1:14" ht="24" x14ac:dyDescent="0.25">
      <c r="A175" s="115">
        <v>6</v>
      </c>
      <c r="B175" s="60" t="s">
        <v>197</v>
      </c>
      <c r="C175" s="10" t="str">
        <f>"U073/17"</f>
        <v>U073/17</v>
      </c>
      <c r="D175" s="56">
        <v>42997</v>
      </c>
      <c r="E175" s="56">
        <v>43373</v>
      </c>
      <c r="F175" s="8">
        <v>16177.5</v>
      </c>
      <c r="G175" s="8">
        <v>20221.88</v>
      </c>
      <c r="H175" s="56">
        <v>43100</v>
      </c>
      <c r="I175" s="24">
        <v>3170.05</v>
      </c>
      <c r="J175" s="77"/>
    </row>
    <row r="176" spans="1:14" ht="36" x14ac:dyDescent="0.25">
      <c r="A176" s="115">
        <v>7</v>
      </c>
      <c r="B176" s="60" t="s">
        <v>568</v>
      </c>
      <c r="C176" s="10" t="str">
        <f>"UGOVOR O OPSKRBI PLINOM ZA G3"</f>
        <v>UGOVOR O OPSKRBI PLINOM ZA G3</v>
      </c>
      <c r="D176" s="56">
        <v>42955</v>
      </c>
      <c r="E176" s="56">
        <v>43594</v>
      </c>
      <c r="F176" s="8">
        <v>106050</v>
      </c>
      <c r="G176" s="8">
        <v>132562.5</v>
      </c>
      <c r="H176" s="56">
        <v>43100</v>
      </c>
      <c r="I176" s="24">
        <v>2056.875</v>
      </c>
      <c r="J176" s="77"/>
    </row>
    <row r="177" spans="1:10" x14ac:dyDescent="0.25">
      <c r="A177" s="115">
        <v>8</v>
      </c>
      <c r="B177" s="60" t="s">
        <v>749</v>
      </c>
      <c r="C177" s="10" t="str">
        <f>"41 SU-488/16"</f>
        <v>41 SU-488/16</v>
      </c>
      <c r="D177" s="56">
        <v>42935</v>
      </c>
      <c r="E177" s="56">
        <v>43678</v>
      </c>
      <c r="F177" s="8">
        <v>142948</v>
      </c>
      <c r="G177" s="8">
        <v>178685</v>
      </c>
      <c r="H177" s="56">
        <v>43100</v>
      </c>
      <c r="I177" s="24">
        <v>30260.125</v>
      </c>
      <c r="J177" s="77"/>
    </row>
    <row r="178" spans="1:10" ht="24" x14ac:dyDescent="0.25">
      <c r="A178" s="115">
        <v>9</v>
      </c>
      <c r="B178" s="60" t="s">
        <v>521</v>
      </c>
      <c r="C178" s="10" t="str">
        <f>"406-07/17-01/12 - 3"</f>
        <v>406-07/17-01/12 - 3</v>
      </c>
      <c r="D178" s="56">
        <v>42948</v>
      </c>
      <c r="E178" s="56">
        <v>43593</v>
      </c>
      <c r="F178" s="8">
        <v>933711.2</v>
      </c>
      <c r="G178" s="8">
        <v>1167139</v>
      </c>
      <c r="H178" s="56">
        <v>43100</v>
      </c>
      <c r="I178" s="24">
        <v>174366.19999999998</v>
      </c>
      <c r="J178" s="77"/>
    </row>
    <row r="179" spans="1:10" ht="24" x14ac:dyDescent="0.25">
      <c r="A179" s="115">
        <v>10</v>
      </c>
      <c r="B179" s="60" t="s">
        <v>18</v>
      </c>
      <c r="C179" s="10" t="str">
        <f>"SNUG-203-17-049"</f>
        <v>SNUG-203-17-049</v>
      </c>
      <c r="D179" s="56">
        <v>42948</v>
      </c>
      <c r="E179" s="56">
        <v>43313</v>
      </c>
      <c r="F179" s="8">
        <v>2047940.17</v>
      </c>
      <c r="G179" s="8">
        <v>2559925.21</v>
      </c>
      <c r="H179" s="56">
        <v>43100</v>
      </c>
      <c r="I179" s="24">
        <v>946987.63749999995</v>
      </c>
      <c r="J179" s="77"/>
    </row>
    <row r="180" spans="1:10" ht="24" x14ac:dyDescent="0.25">
      <c r="A180" s="115">
        <v>11</v>
      </c>
      <c r="B180" s="60" t="s">
        <v>538</v>
      </c>
      <c r="C180" s="10" t="str">
        <f>"677/17"</f>
        <v>677/17</v>
      </c>
      <c r="D180" s="56">
        <v>42928</v>
      </c>
      <c r="E180" s="56">
        <v>43677</v>
      </c>
      <c r="F180" s="8">
        <v>485172</v>
      </c>
      <c r="G180" s="8">
        <v>606465</v>
      </c>
      <c r="H180" s="56">
        <v>43100</v>
      </c>
      <c r="I180" s="24">
        <v>26745.75</v>
      </c>
      <c r="J180" s="77"/>
    </row>
    <row r="181" spans="1:10" ht="24" x14ac:dyDescent="0.25">
      <c r="A181" s="115">
        <v>12</v>
      </c>
      <c r="B181" s="60" t="s">
        <v>864</v>
      </c>
      <c r="C181" s="10" t="str">
        <f>"871-2/17"</f>
        <v>871-2/17</v>
      </c>
      <c r="D181" s="56">
        <v>42928</v>
      </c>
      <c r="E181" s="56">
        <v>43593</v>
      </c>
      <c r="F181" s="8">
        <v>160735</v>
      </c>
      <c r="G181" s="8">
        <v>200918</v>
      </c>
      <c r="H181" s="56">
        <v>43100</v>
      </c>
      <c r="I181" s="24">
        <v>31190.85</v>
      </c>
      <c r="J181" s="77"/>
    </row>
    <row r="182" spans="1:10" ht="24" x14ac:dyDescent="0.25">
      <c r="A182" s="115">
        <v>13</v>
      </c>
      <c r="B182" s="60" t="s">
        <v>591</v>
      </c>
      <c r="C182" s="10" t="str">
        <f>"363-01/17-01/1"</f>
        <v>363-01/17-01/1</v>
      </c>
      <c r="D182" s="56">
        <v>42929</v>
      </c>
      <c r="E182" s="56">
        <v>43100</v>
      </c>
      <c r="F182" s="8">
        <v>19239.75</v>
      </c>
      <c r="G182" s="8">
        <v>24049.69</v>
      </c>
      <c r="H182" s="56">
        <v>43100</v>
      </c>
      <c r="I182" s="24">
        <v>29131.712499999998</v>
      </c>
      <c r="J182" s="77"/>
    </row>
    <row r="183" spans="1:10" ht="24" x14ac:dyDescent="0.25">
      <c r="A183" s="115">
        <v>14</v>
      </c>
      <c r="B183" s="60" t="s">
        <v>546</v>
      </c>
      <c r="C183" s="10" t="str">
        <f>"HEP-PLIN 7/2016H"</f>
        <v>HEP-PLIN 7/2016H</v>
      </c>
      <c r="D183" s="56">
        <v>42941</v>
      </c>
      <c r="E183" s="56">
        <v>43593</v>
      </c>
      <c r="F183" s="8">
        <v>17000</v>
      </c>
      <c r="G183" s="8">
        <v>21250</v>
      </c>
      <c r="H183" s="56">
        <v>43100</v>
      </c>
      <c r="I183" s="24">
        <v>2880.7375000000002</v>
      </c>
      <c r="J183" s="77"/>
    </row>
    <row r="184" spans="1:10" ht="38.25" customHeight="1" x14ac:dyDescent="0.25">
      <c r="A184" s="115">
        <v>15</v>
      </c>
      <c r="B184" s="60" t="s">
        <v>844</v>
      </c>
      <c r="C184" s="10" t="str">
        <f>"F300002/889/17/TK/DG"</f>
        <v>F300002/889/17/TK/DG</v>
      </c>
      <c r="D184" s="56">
        <v>42885</v>
      </c>
      <c r="E184" s="56">
        <v>43646</v>
      </c>
      <c r="F184" s="8">
        <v>0</v>
      </c>
      <c r="G184" s="8">
        <v>0</v>
      </c>
      <c r="H184" s="56">
        <v>43100</v>
      </c>
      <c r="I184" s="24">
        <v>79982.524999999994</v>
      </c>
      <c r="J184" s="77"/>
    </row>
    <row r="185" spans="1:10" x14ac:dyDescent="0.25">
      <c r="A185" s="115">
        <v>16</v>
      </c>
      <c r="B185" s="60" t="s">
        <v>509</v>
      </c>
      <c r="C185" s="10" t="str">
        <f>"41-SU-13/17-6"</f>
        <v>41-SU-13/17-6</v>
      </c>
      <c r="D185" s="56">
        <v>42919</v>
      </c>
      <c r="E185" s="56">
        <v>43592</v>
      </c>
      <c r="F185" s="8">
        <v>97664.82</v>
      </c>
      <c r="G185" s="8">
        <v>122081.03</v>
      </c>
      <c r="H185" s="56">
        <v>43100</v>
      </c>
      <c r="I185" s="24">
        <v>27865.599999999999</v>
      </c>
      <c r="J185" s="77"/>
    </row>
    <row r="186" spans="1:10" ht="24" x14ac:dyDescent="0.25">
      <c r="A186" s="115">
        <v>17</v>
      </c>
      <c r="B186" s="60" t="s">
        <v>195</v>
      </c>
      <c r="C186" s="10" t="str">
        <f>"511-22-04-02-2-902/1-17.VS"</f>
        <v>511-22-04-02-2-902/1-17.VS</v>
      </c>
      <c r="D186" s="56">
        <v>42963</v>
      </c>
      <c r="E186" s="56">
        <v>43281</v>
      </c>
      <c r="F186" s="8">
        <v>102462</v>
      </c>
      <c r="G186" s="8">
        <v>128077.5</v>
      </c>
      <c r="H186" s="56">
        <v>43100</v>
      </c>
      <c r="I186" s="24">
        <v>12203.612499999999</v>
      </c>
      <c r="J186" s="77"/>
    </row>
    <row r="187" spans="1:10" ht="24" x14ac:dyDescent="0.25">
      <c r="A187" s="115">
        <v>18</v>
      </c>
      <c r="B187" s="60" t="s">
        <v>206</v>
      </c>
      <c r="C187" s="10" t="str">
        <f>"PLIN GRUPA 3 OS"</f>
        <v>PLIN GRUPA 3 OS</v>
      </c>
      <c r="D187" s="56">
        <v>42919</v>
      </c>
      <c r="E187" s="56">
        <v>43593</v>
      </c>
      <c r="F187" s="8">
        <v>16546.68</v>
      </c>
      <c r="G187" s="8">
        <v>20683.349999999999</v>
      </c>
      <c r="H187" s="56">
        <v>43100</v>
      </c>
      <c r="I187" s="24">
        <v>4045.2125000000001</v>
      </c>
      <c r="J187" s="77"/>
    </row>
    <row r="188" spans="1:10" ht="24" x14ac:dyDescent="0.25">
      <c r="A188" s="115">
        <v>19</v>
      </c>
      <c r="B188" s="60" t="s">
        <v>195</v>
      </c>
      <c r="C188" s="10" t="str">
        <f>"406-01/16-03/12"</f>
        <v>406-01/16-03/12</v>
      </c>
      <c r="D188" s="56">
        <v>42926</v>
      </c>
      <c r="E188" s="56">
        <v>43282</v>
      </c>
      <c r="F188" s="8">
        <v>106030.74</v>
      </c>
      <c r="G188" s="8">
        <v>132538.43</v>
      </c>
      <c r="H188" s="56">
        <v>43100</v>
      </c>
      <c r="I188" s="24">
        <v>73091.5625</v>
      </c>
      <c r="J188" s="77"/>
    </row>
    <row r="189" spans="1:10" ht="24" x14ac:dyDescent="0.25">
      <c r="A189" s="115">
        <v>20</v>
      </c>
      <c r="B189" s="60" t="s">
        <v>186</v>
      </c>
      <c r="C189" s="10" t="str">
        <f>"406/01/17-01/0079"</f>
        <v>406/01/17-01/0079</v>
      </c>
      <c r="D189" s="56">
        <v>42937</v>
      </c>
      <c r="E189" s="56">
        <v>43646</v>
      </c>
      <c r="F189" s="8">
        <v>33470.879999999997</v>
      </c>
      <c r="G189" s="8">
        <v>41838.6</v>
      </c>
      <c r="H189" s="56">
        <v>43008</v>
      </c>
      <c r="I189" s="24">
        <v>44.637500000000003</v>
      </c>
      <c r="J189" s="77"/>
    </row>
    <row r="190" spans="1:10" ht="24" x14ac:dyDescent="0.25">
      <c r="A190" s="115">
        <v>21</v>
      </c>
      <c r="B190" s="60" t="s">
        <v>582</v>
      </c>
      <c r="C190" s="10" t="str">
        <f>"F300002/1103/MU/DG"</f>
        <v>F300002/1103/MU/DG</v>
      </c>
      <c r="D190" s="56">
        <v>42930</v>
      </c>
      <c r="E190" s="56">
        <v>43282</v>
      </c>
      <c r="F190" s="8">
        <v>2865.4</v>
      </c>
      <c r="G190" s="8">
        <v>3581.75</v>
      </c>
      <c r="H190" s="56">
        <v>43100</v>
      </c>
      <c r="I190" s="24">
        <v>1223.7</v>
      </c>
      <c r="J190" s="77"/>
    </row>
    <row r="191" spans="1:10" ht="24" x14ac:dyDescent="0.25">
      <c r="A191" s="115">
        <v>22</v>
      </c>
      <c r="B191" s="60" t="s">
        <v>580</v>
      </c>
      <c r="C191" s="10" t="str">
        <f>"KLASA:431-03/17-01/1"</f>
        <v>KLASA:431-03/17-01/1</v>
      </c>
      <c r="D191" s="56">
        <v>42887</v>
      </c>
      <c r="E191" s="56">
        <v>43100</v>
      </c>
      <c r="F191" s="8">
        <v>9980</v>
      </c>
      <c r="G191" s="8">
        <v>12475</v>
      </c>
      <c r="H191" s="56">
        <v>43042</v>
      </c>
      <c r="I191" s="24">
        <v>1014.525</v>
      </c>
      <c r="J191" s="77"/>
    </row>
    <row r="192" spans="1:10" ht="24" x14ac:dyDescent="0.25">
      <c r="A192" s="115">
        <v>23</v>
      </c>
      <c r="B192" s="60" t="s">
        <v>871</v>
      </c>
      <c r="C192" s="10" t="str">
        <f>"404-01/17-05/1"</f>
        <v>404-01/17-05/1</v>
      </c>
      <c r="D192" s="56">
        <v>42887</v>
      </c>
      <c r="E192" s="56">
        <v>43617</v>
      </c>
      <c r="F192" s="8">
        <v>12696.56</v>
      </c>
      <c r="G192" s="8">
        <v>15870.7</v>
      </c>
      <c r="H192" s="56">
        <v>43100</v>
      </c>
      <c r="I192" s="24">
        <v>2459.9625000000001</v>
      </c>
      <c r="J192" s="77"/>
    </row>
    <row r="193" spans="1:14" ht="24" x14ac:dyDescent="0.25">
      <c r="A193" s="115">
        <v>24</v>
      </c>
      <c r="B193" s="60" t="s">
        <v>834</v>
      </c>
      <c r="C193" s="10" t="str">
        <f>"058-00/17-01/1566"</f>
        <v>058-00/17-01/1566</v>
      </c>
      <c r="D193" s="56">
        <v>42927</v>
      </c>
      <c r="E193" s="56">
        <v>43616</v>
      </c>
      <c r="F193" s="8">
        <v>0</v>
      </c>
      <c r="G193" s="8">
        <v>108813.31</v>
      </c>
      <c r="H193" s="56">
        <v>43100</v>
      </c>
      <c r="I193" s="24">
        <v>16438.849999999999</v>
      </c>
      <c r="J193" s="77"/>
    </row>
    <row r="194" spans="1:14" ht="24" x14ac:dyDescent="0.25">
      <c r="A194" s="115">
        <v>25</v>
      </c>
      <c r="B194" s="60" t="s">
        <v>489</v>
      </c>
      <c r="C194" s="10" t="str">
        <f>"406-01/16-01/34"</f>
        <v>406-01/16-01/34</v>
      </c>
      <c r="D194" s="56">
        <v>42886</v>
      </c>
      <c r="E194" s="56">
        <v>43592</v>
      </c>
      <c r="F194" s="8">
        <v>93638.92</v>
      </c>
      <c r="G194" s="8">
        <v>117048.65</v>
      </c>
      <c r="H194" s="56">
        <v>43100</v>
      </c>
      <c r="I194" s="24">
        <v>30825.587500000001</v>
      </c>
      <c r="J194" s="77"/>
    </row>
    <row r="195" spans="1:14" ht="24" x14ac:dyDescent="0.25">
      <c r="A195" s="115">
        <v>26</v>
      </c>
      <c r="B195" s="60" t="s">
        <v>707</v>
      </c>
      <c r="C195" s="10" t="str">
        <f>"41-SU-235/2017"</f>
        <v>41-SU-235/2017</v>
      </c>
      <c r="D195" s="56">
        <v>42928</v>
      </c>
      <c r="E195" s="56">
        <v>43617</v>
      </c>
      <c r="F195" s="8">
        <v>16369.2</v>
      </c>
      <c r="G195" s="8">
        <v>20461.5</v>
      </c>
      <c r="H195" s="56">
        <v>43100</v>
      </c>
      <c r="I195" s="24">
        <v>6269.3125</v>
      </c>
      <c r="J195" s="77"/>
    </row>
    <row r="196" spans="1:14" ht="36" x14ac:dyDescent="0.25">
      <c r="A196" s="115">
        <v>27</v>
      </c>
      <c r="B196" s="60" t="s">
        <v>726</v>
      </c>
      <c r="C196" s="10" t="str">
        <f>"406-07/17-02/03"</f>
        <v>406-07/17-02/03</v>
      </c>
      <c r="D196" s="56">
        <v>42887</v>
      </c>
      <c r="E196" s="56">
        <v>43616</v>
      </c>
      <c r="F196" s="8">
        <v>27409.07</v>
      </c>
      <c r="G196" s="8">
        <v>34261.339999999997</v>
      </c>
      <c r="H196" s="56">
        <v>43100</v>
      </c>
      <c r="I196" s="24">
        <v>5357.5250000000005</v>
      </c>
      <c r="J196" s="77"/>
    </row>
    <row r="197" spans="1:14" ht="24" x14ac:dyDescent="0.25">
      <c r="A197" s="115">
        <v>28</v>
      </c>
      <c r="B197" s="60" t="s">
        <v>728</v>
      </c>
      <c r="C197" s="10" t="str">
        <f>"41 SU-485/2017"</f>
        <v>41 SU-485/2017</v>
      </c>
      <c r="D197" s="56">
        <v>42971</v>
      </c>
      <c r="E197" s="56">
        <v>43616</v>
      </c>
      <c r="F197" s="8">
        <v>166483.12</v>
      </c>
      <c r="G197" s="8">
        <v>208103.9</v>
      </c>
      <c r="H197" s="56">
        <v>43100</v>
      </c>
      <c r="I197" s="24">
        <v>15612.025000000001</v>
      </c>
      <c r="J197" s="77"/>
    </row>
    <row r="198" spans="1:14" ht="7.5" customHeight="1" x14ac:dyDescent="0.25">
      <c r="A198" s="38"/>
      <c r="B198" s="41"/>
      <c r="C198" s="42"/>
      <c r="D198" s="42"/>
      <c r="E198" s="43"/>
      <c r="F198" s="43"/>
      <c r="G198" s="44"/>
      <c r="H198" s="43"/>
      <c r="I198" s="44"/>
      <c r="J198" s="44"/>
      <c r="K198" s="45"/>
    </row>
    <row r="199" spans="1:14" x14ac:dyDescent="0.25">
      <c r="A199" s="175" t="s">
        <v>181</v>
      </c>
      <c r="B199" s="175"/>
      <c r="C199" s="175"/>
      <c r="D199" s="175"/>
      <c r="E199" s="175"/>
      <c r="F199" s="175"/>
      <c r="G199" s="175"/>
      <c r="H199" s="175"/>
      <c r="I199" s="175"/>
      <c r="J199" s="175"/>
      <c r="K199" s="175"/>
      <c r="L199" s="175"/>
      <c r="M199" s="175"/>
      <c r="N199" s="175"/>
    </row>
    <row r="200" spans="1:14" ht="36" x14ac:dyDescent="0.25">
      <c r="A200" s="53" t="s">
        <v>0</v>
      </c>
      <c r="B200" s="54" t="s">
        <v>1</v>
      </c>
      <c r="C200" s="54" t="s">
        <v>3</v>
      </c>
      <c r="D200" s="178" t="s">
        <v>171</v>
      </c>
      <c r="E200" s="178"/>
      <c r="F200" s="54" t="s">
        <v>166</v>
      </c>
      <c r="G200" s="54" t="s">
        <v>170</v>
      </c>
      <c r="H200" s="54" t="s">
        <v>167</v>
      </c>
      <c r="I200" s="54" t="s">
        <v>4</v>
      </c>
      <c r="J200" s="54" t="s">
        <v>5</v>
      </c>
      <c r="K200" s="54" t="s">
        <v>2</v>
      </c>
      <c r="L200" s="54" t="s">
        <v>172</v>
      </c>
      <c r="M200" s="54" t="s">
        <v>173</v>
      </c>
      <c r="N200" s="54" t="s">
        <v>169</v>
      </c>
    </row>
    <row r="201" spans="1:14" x14ac:dyDescent="0.25">
      <c r="A201" s="1">
        <v>1</v>
      </c>
      <c r="B201" s="4" t="s">
        <v>130</v>
      </c>
      <c r="C201" s="14" t="s">
        <v>134</v>
      </c>
      <c r="D201" s="193" t="s">
        <v>1035</v>
      </c>
      <c r="E201" s="193"/>
      <c r="F201" s="38" t="s">
        <v>151</v>
      </c>
      <c r="G201" s="38" t="s">
        <v>1004</v>
      </c>
      <c r="H201" s="1" t="s">
        <v>15</v>
      </c>
      <c r="I201" s="15">
        <v>42863</v>
      </c>
      <c r="J201" s="1" t="s">
        <v>51</v>
      </c>
      <c r="K201" s="8">
        <v>6582477.4500000002</v>
      </c>
      <c r="L201" s="8">
        <f>K201*0.25</f>
        <v>1645619.3625</v>
      </c>
      <c r="M201" s="8">
        <f>K201+L201</f>
        <v>8228096.8125</v>
      </c>
      <c r="N201" s="176"/>
    </row>
    <row r="202" spans="1:14" ht="15" customHeight="1" x14ac:dyDescent="0.25">
      <c r="A202" s="177" t="s">
        <v>1012</v>
      </c>
      <c r="B202" s="177"/>
      <c r="C202" s="177"/>
      <c r="D202" s="177"/>
      <c r="E202" s="177"/>
      <c r="F202" s="177"/>
      <c r="G202" s="177"/>
      <c r="H202" s="177"/>
      <c r="I202" s="177"/>
      <c r="J202" s="177"/>
      <c r="K202" s="177"/>
      <c r="L202" s="177"/>
      <c r="M202" s="8">
        <v>581858.13</v>
      </c>
      <c r="N202" s="176"/>
    </row>
    <row r="203" spans="1:14" ht="7.5" customHeight="1" x14ac:dyDescent="0.25">
      <c r="L203" s="47"/>
    </row>
    <row r="204" spans="1:14" ht="15" customHeight="1" x14ac:dyDescent="0.25">
      <c r="A204" s="175" t="s">
        <v>12</v>
      </c>
      <c r="B204" s="175"/>
      <c r="C204" s="175"/>
      <c r="D204" s="175"/>
      <c r="E204" s="175"/>
      <c r="F204" s="175"/>
      <c r="G204" s="175"/>
      <c r="H204" s="175"/>
      <c r="I204" s="175"/>
      <c r="J204" s="175"/>
      <c r="K204" s="49"/>
      <c r="L204" s="49"/>
    </row>
    <row r="205" spans="1:14" ht="48" customHeight="1" x14ac:dyDescent="0.25">
      <c r="A205" s="2" t="s">
        <v>0</v>
      </c>
      <c r="B205" s="3" t="s">
        <v>7</v>
      </c>
      <c r="C205" s="3" t="s">
        <v>6</v>
      </c>
      <c r="D205" s="3" t="s">
        <v>8</v>
      </c>
      <c r="E205" s="3" t="s">
        <v>168</v>
      </c>
      <c r="F205" s="3" t="s">
        <v>174</v>
      </c>
      <c r="G205" s="3" t="s">
        <v>175</v>
      </c>
      <c r="H205" s="3" t="s">
        <v>9</v>
      </c>
      <c r="I205" s="3" t="s">
        <v>176</v>
      </c>
      <c r="J205" s="3" t="s">
        <v>10</v>
      </c>
      <c r="K205" s="48"/>
      <c r="L205" s="48"/>
      <c r="M205" s="48"/>
    </row>
    <row r="206" spans="1:14" ht="24" x14ac:dyDescent="0.25">
      <c r="A206" s="38">
        <v>1</v>
      </c>
      <c r="B206" s="60" t="s">
        <v>195</v>
      </c>
      <c r="C206" s="10" t="str">
        <f>"511-16-04-2-UG-8-2017"</f>
        <v>511-16-04-2-UG-8-2017</v>
      </c>
      <c r="D206" s="56">
        <v>43063</v>
      </c>
      <c r="E206" s="56">
        <v>43434</v>
      </c>
      <c r="F206" s="8">
        <v>58620.1</v>
      </c>
      <c r="G206" s="8">
        <v>73275.13</v>
      </c>
      <c r="H206" s="56">
        <v>43100</v>
      </c>
      <c r="I206" s="24">
        <v>11522.8</v>
      </c>
      <c r="J206" s="77"/>
    </row>
    <row r="207" spans="1:14" ht="36" x14ac:dyDescent="0.25">
      <c r="A207" s="115">
        <v>2</v>
      </c>
      <c r="B207" s="60" t="s">
        <v>598</v>
      </c>
      <c r="C207" s="10" t="str">
        <f>"01/18"</f>
        <v>01/18</v>
      </c>
      <c r="D207" s="56">
        <v>43103</v>
      </c>
      <c r="E207" s="56">
        <v>43592</v>
      </c>
      <c r="F207" s="8">
        <v>270000</v>
      </c>
      <c r="G207" s="8">
        <v>337500</v>
      </c>
      <c r="H207" s="162"/>
      <c r="I207" s="167">
        <v>0</v>
      </c>
      <c r="J207" s="77"/>
    </row>
    <row r="208" spans="1:14" ht="24" x14ac:dyDescent="0.25">
      <c r="A208" s="115">
        <v>3</v>
      </c>
      <c r="B208" s="60" t="s">
        <v>814</v>
      </c>
      <c r="C208" s="10" t="str">
        <f>"144/2017"</f>
        <v>144/2017</v>
      </c>
      <c r="D208" s="56">
        <v>43068</v>
      </c>
      <c r="E208" s="56">
        <v>43435</v>
      </c>
      <c r="F208" s="8">
        <v>28262</v>
      </c>
      <c r="G208" s="8">
        <v>35327.5</v>
      </c>
      <c r="H208" s="56">
        <v>43100</v>
      </c>
      <c r="I208" s="24">
        <v>0</v>
      </c>
      <c r="J208" s="77"/>
    </row>
    <row r="209" spans="1:10" ht="24" x14ac:dyDescent="0.25">
      <c r="A209" s="115">
        <v>4</v>
      </c>
      <c r="B209" s="60" t="s">
        <v>197</v>
      </c>
      <c r="C209" s="10" t="str">
        <f>"U074/17"</f>
        <v>U074/17</v>
      </c>
      <c r="D209" s="56">
        <v>43039</v>
      </c>
      <c r="E209" s="56">
        <v>43403</v>
      </c>
      <c r="F209" s="8">
        <v>9886.5</v>
      </c>
      <c r="G209" s="8">
        <v>12358.13</v>
      </c>
      <c r="H209" s="56">
        <v>43100</v>
      </c>
      <c r="I209" s="24">
        <v>0</v>
      </c>
      <c r="J209" s="77"/>
    </row>
    <row r="210" spans="1:10" ht="24" x14ac:dyDescent="0.25">
      <c r="A210" s="115">
        <v>5</v>
      </c>
      <c r="B210" s="60" t="s">
        <v>18</v>
      </c>
      <c r="C210" s="10" t="str">
        <f>"SNUG-203-17-051"</f>
        <v>SNUG-203-17-051</v>
      </c>
      <c r="D210" s="56">
        <v>43017</v>
      </c>
      <c r="E210" s="56">
        <v>43382</v>
      </c>
      <c r="F210" s="8">
        <v>579940</v>
      </c>
      <c r="G210" s="8">
        <v>724925</v>
      </c>
      <c r="H210" s="56">
        <v>43100</v>
      </c>
      <c r="I210" s="24">
        <v>230919.52499999999</v>
      </c>
      <c r="J210" s="77"/>
    </row>
    <row r="211" spans="1:10" ht="36" x14ac:dyDescent="0.25">
      <c r="A211" s="115">
        <v>6</v>
      </c>
      <c r="B211" s="60" t="s">
        <v>711</v>
      </c>
      <c r="C211" s="10" t="str">
        <f>"147/2017"</f>
        <v>147/2017</v>
      </c>
      <c r="D211" s="56">
        <v>43009</v>
      </c>
      <c r="E211" s="56">
        <v>43373</v>
      </c>
      <c r="F211" s="8">
        <v>18639</v>
      </c>
      <c r="G211" s="8">
        <v>23298.75</v>
      </c>
      <c r="H211" s="56">
        <v>43100</v>
      </c>
      <c r="I211" s="24">
        <v>8122.5</v>
      </c>
      <c r="J211" s="77"/>
    </row>
    <row r="212" spans="1:10" ht="24" x14ac:dyDescent="0.25">
      <c r="A212" s="115">
        <v>7</v>
      </c>
      <c r="B212" s="60" t="s">
        <v>210</v>
      </c>
      <c r="C212" s="10" t="str">
        <f>"PU - 406-01/17-01/142, 17-8"</f>
        <v>PU - 406-01/17-01/142, 17-8</v>
      </c>
      <c r="D212" s="56">
        <v>43035</v>
      </c>
      <c r="E212" s="56">
        <v>43374</v>
      </c>
      <c r="F212" s="8">
        <v>52825.3</v>
      </c>
      <c r="G212" s="8">
        <v>66031.63</v>
      </c>
      <c r="H212" s="56">
        <v>43100</v>
      </c>
      <c r="I212" s="24">
        <v>8561.5875000000015</v>
      </c>
      <c r="J212" s="77"/>
    </row>
    <row r="213" spans="1:10" x14ac:dyDescent="0.25">
      <c r="A213" s="115">
        <v>8</v>
      </c>
      <c r="B213" s="60" t="s">
        <v>707</v>
      </c>
      <c r="C213" s="10" t="str">
        <f>"17-SU 305/17"</f>
        <v>17-SU 305/17</v>
      </c>
      <c r="D213" s="56">
        <v>43013</v>
      </c>
      <c r="E213" s="56">
        <v>43738</v>
      </c>
      <c r="F213" s="8">
        <v>47367</v>
      </c>
      <c r="G213" s="8">
        <v>59208.75</v>
      </c>
      <c r="H213" s="56">
        <v>43100</v>
      </c>
      <c r="I213" s="24">
        <v>24426.075000000001</v>
      </c>
      <c r="J213" s="77"/>
    </row>
    <row r="214" spans="1:10" ht="24" x14ac:dyDescent="0.25">
      <c r="A214" s="115">
        <v>9</v>
      </c>
      <c r="B214" s="60" t="s">
        <v>606</v>
      </c>
      <c r="C214" s="10" t="str">
        <f>"NABAVA PLINA 7/2016"</f>
        <v>NABAVA PLINA 7/2016</v>
      </c>
      <c r="D214" s="56">
        <v>42998</v>
      </c>
      <c r="E214" s="56">
        <v>43738</v>
      </c>
      <c r="F214" s="8">
        <v>28105.3</v>
      </c>
      <c r="G214" s="8">
        <v>35131.629999999997</v>
      </c>
      <c r="H214" s="56">
        <v>43100</v>
      </c>
      <c r="I214" s="24">
        <v>2720.2999999999997</v>
      </c>
      <c r="J214" s="77"/>
    </row>
    <row r="215" spans="1:10" x14ac:dyDescent="0.25">
      <c r="A215" s="115">
        <v>10</v>
      </c>
      <c r="B215" s="60" t="s">
        <v>676</v>
      </c>
      <c r="C215" s="10" t="str">
        <f>"145/2017"</f>
        <v>145/2017</v>
      </c>
      <c r="D215" s="56">
        <v>43009</v>
      </c>
      <c r="E215" s="56">
        <v>43373</v>
      </c>
      <c r="F215" s="8">
        <v>130594.9</v>
      </c>
      <c r="G215" s="8">
        <v>163243.63</v>
      </c>
      <c r="H215" s="56">
        <v>43100</v>
      </c>
      <c r="I215" s="24">
        <v>70267.337500000009</v>
      </c>
      <c r="J215" s="77"/>
    </row>
    <row r="216" spans="1:10" ht="24" x14ac:dyDescent="0.25">
      <c r="A216" s="115">
        <v>11</v>
      </c>
      <c r="B216" s="60" t="s">
        <v>855</v>
      </c>
      <c r="C216" s="10" t="str">
        <f>"UGOVOR 12/2016-ČZ"</f>
        <v>UGOVOR 12/2016-ČZ</v>
      </c>
      <c r="D216" s="56">
        <v>42978</v>
      </c>
      <c r="E216" s="56">
        <v>43463</v>
      </c>
      <c r="F216" s="8">
        <v>2400</v>
      </c>
      <c r="G216" s="8">
        <v>3000</v>
      </c>
      <c r="H216" s="56">
        <v>43100</v>
      </c>
      <c r="I216" s="24">
        <v>345.58750000000003</v>
      </c>
      <c r="J216" s="77"/>
    </row>
    <row r="217" spans="1:10" ht="24" x14ac:dyDescent="0.25">
      <c r="A217" s="115">
        <v>12</v>
      </c>
      <c r="B217" s="60" t="s">
        <v>195</v>
      </c>
      <c r="C217" s="10" t="str">
        <f>"511-02-04/2-2330/5-2017."</f>
        <v>511-02-04/2-2330/5-2017.</v>
      </c>
      <c r="D217" s="56">
        <v>42965</v>
      </c>
      <c r="E217" s="56">
        <v>43343</v>
      </c>
      <c r="F217" s="8">
        <v>53780</v>
      </c>
      <c r="G217" s="8">
        <v>67225</v>
      </c>
      <c r="H217" s="56">
        <v>43100</v>
      </c>
      <c r="I217" s="24">
        <v>20464.8</v>
      </c>
      <c r="J217" s="77"/>
    </row>
    <row r="218" spans="1:10" ht="24" x14ac:dyDescent="0.25">
      <c r="A218" s="115">
        <v>13</v>
      </c>
      <c r="B218" s="60" t="s">
        <v>195</v>
      </c>
      <c r="C218" s="10" t="str">
        <f>"511-02-04/2-2330/3-2017."</f>
        <v>511-02-04/2-2330/3-2017.</v>
      </c>
      <c r="D218" s="56">
        <v>42965</v>
      </c>
      <c r="E218" s="56">
        <v>43343</v>
      </c>
      <c r="F218" s="8">
        <v>45580</v>
      </c>
      <c r="G218" s="8">
        <v>56975</v>
      </c>
      <c r="H218" s="56">
        <v>43100</v>
      </c>
      <c r="I218" s="24">
        <v>11595.5625</v>
      </c>
      <c r="J218" s="77"/>
    </row>
    <row r="219" spans="1:10" ht="24" x14ac:dyDescent="0.25">
      <c r="A219" s="115">
        <v>14</v>
      </c>
      <c r="B219" s="60" t="s">
        <v>195</v>
      </c>
      <c r="C219" s="10" t="str">
        <f>"511-02-04/2-2330/2-2017."</f>
        <v>511-02-04/2-2330/2-2017.</v>
      </c>
      <c r="D219" s="56">
        <v>42965</v>
      </c>
      <c r="E219" s="56">
        <v>43343</v>
      </c>
      <c r="F219" s="8">
        <v>26355</v>
      </c>
      <c r="G219" s="8">
        <v>32943.75</v>
      </c>
      <c r="H219" s="56">
        <v>43100</v>
      </c>
      <c r="I219" s="24">
        <v>11881.224999999999</v>
      </c>
      <c r="J219" s="77"/>
    </row>
    <row r="220" spans="1:10" ht="24" x14ac:dyDescent="0.25">
      <c r="A220" s="115">
        <v>15</v>
      </c>
      <c r="B220" s="60" t="s">
        <v>195</v>
      </c>
      <c r="C220" s="10" t="str">
        <f>"511-02-04/2-2330/1-2017."</f>
        <v>511-02-04/2-2330/1-2017.</v>
      </c>
      <c r="D220" s="56">
        <v>42965</v>
      </c>
      <c r="E220" s="56">
        <v>43343</v>
      </c>
      <c r="F220" s="8">
        <v>291510</v>
      </c>
      <c r="G220" s="8">
        <v>364387.5</v>
      </c>
      <c r="H220" s="56">
        <v>43100</v>
      </c>
      <c r="I220" s="24">
        <v>116878.21250000001</v>
      </c>
      <c r="J220" s="77"/>
    </row>
    <row r="221" spans="1:10" ht="24" x14ac:dyDescent="0.25">
      <c r="A221" s="115">
        <v>16</v>
      </c>
      <c r="B221" s="60" t="s">
        <v>195</v>
      </c>
      <c r="C221" s="10" t="str">
        <f>"511-06-01-1877-2/17."</f>
        <v>511-06-01-1877-2/17.</v>
      </c>
      <c r="D221" s="56">
        <v>42970</v>
      </c>
      <c r="E221" s="56">
        <v>43343</v>
      </c>
      <c r="F221" s="8">
        <v>56809</v>
      </c>
      <c r="G221" s="8">
        <v>71011.25</v>
      </c>
      <c r="H221" s="56">
        <v>43100</v>
      </c>
      <c r="I221" s="24">
        <v>29047.1875</v>
      </c>
      <c r="J221" s="77"/>
    </row>
    <row r="222" spans="1:10" ht="24" x14ac:dyDescent="0.25">
      <c r="A222" s="115">
        <v>17</v>
      </c>
      <c r="B222" s="60" t="s">
        <v>195</v>
      </c>
      <c r="C222" s="10" t="str">
        <f>"511-02-04/2-2330/4-2017."</f>
        <v>511-02-04/2-2330/4-2017.</v>
      </c>
      <c r="D222" s="56">
        <v>42965</v>
      </c>
      <c r="E222" s="56">
        <v>43343</v>
      </c>
      <c r="F222" s="8">
        <v>29432</v>
      </c>
      <c r="G222" s="8">
        <v>36790</v>
      </c>
      <c r="H222" s="56">
        <v>43100</v>
      </c>
      <c r="I222" s="24">
        <v>10624.1875</v>
      </c>
      <c r="J222" s="77"/>
    </row>
    <row r="223" spans="1:10" ht="24" x14ac:dyDescent="0.25">
      <c r="A223" s="115">
        <v>18</v>
      </c>
      <c r="B223" s="60" t="s">
        <v>193</v>
      </c>
      <c r="C223" s="10" t="str">
        <f>"26-10-17-2"</f>
        <v>26-10-17-2</v>
      </c>
      <c r="D223" s="56">
        <v>42969</v>
      </c>
      <c r="E223" s="56">
        <v>43646</v>
      </c>
      <c r="F223" s="8">
        <v>2092.4</v>
      </c>
      <c r="G223" s="8">
        <v>2615.5</v>
      </c>
      <c r="H223" s="56">
        <v>43100</v>
      </c>
      <c r="I223" s="24">
        <v>179.13749999999999</v>
      </c>
      <c r="J223" s="77"/>
    </row>
    <row r="224" spans="1:10" ht="24" x14ac:dyDescent="0.25">
      <c r="A224" s="115">
        <v>19</v>
      </c>
      <c r="B224" s="60" t="s">
        <v>667</v>
      </c>
      <c r="C224" s="10" t="str">
        <f>"ZA GRUPU/E BR. 137/2017"</f>
        <v>ZA GRUPU/E BR. 137/2017</v>
      </c>
      <c r="D224" s="56">
        <v>42915</v>
      </c>
      <c r="E224" s="56">
        <v>43593</v>
      </c>
      <c r="F224" s="8">
        <v>192000</v>
      </c>
      <c r="G224" s="8">
        <v>240000</v>
      </c>
      <c r="H224" s="56">
        <v>43100</v>
      </c>
      <c r="I224" s="24">
        <v>24249.35</v>
      </c>
      <c r="J224" s="77"/>
    </row>
    <row r="225" spans="1:14" ht="24" x14ac:dyDescent="0.25">
      <c r="A225" s="115">
        <v>20</v>
      </c>
      <c r="B225" s="60" t="s">
        <v>186</v>
      </c>
      <c r="C225" s="10" t="str">
        <f>"406-01/17-01/0078"</f>
        <v>406-01/17-01/0078</v>
      </c>
      <c r="D225" s="56">
        <v>42892</v>
      </c>
      <c r="E225" s="56">
        <v>43646</v>
      </c>
      <c r="F225" s="8">
        <v>19481.060000000001</v>
      </c>
      <c r="G225" s="8">
        <v>24351.33</v>
      </c>
      <c r="H225" s="56">
        <v>43008</v>
      </c>
      <c r="I225" s="24">
        <v>52.75</v>
      </c>
      <c r="J225" s="77"/>
    </row>
    <row r="226" spans="1:14" ht="7.5" customHeight="1" x14ac:dyDescent="0.25">
      <c r="A226" s="38"/>
      <c r="B226" s="41"/>
      <c r="C226" s="42"/>
      <c r="D226" s="42"/>
      <c r="E226" s="43"/>
      <c r="F226" s="43"/>
      <c r="G226" s="44"/>
      <c r="H226" s="43"/>
      <c r="I226" s="44"/>
      <c r="J226" s="44"/>
      <c r="K226" s="45"/>
    </row>
    <row r="227" spans="1:14" x14ac:dyDescent="0.25">
      <c r="A227" s="175" t="s">
        <v>181</v>
      </c>
      <c r="B227" s="175"/>
      <c r="C227" s="175"/>
      <c r="D227" s="175"/>
      <c r="E227" s="175"/>
      <c r="F227" s="175"/>
      <c r="G227" s="175"/>
      <c r="H227" s="175"/>
      <c r="I227" s="175"/>
      <c r="J227" s="175"/>
      <c r="K227" s="175"/>
      <c r="L227" s="175"/>
      <c r="M227" s="175"/>
      <c r="N227" s="175"/>
    </row>
    <row r="228" spans="1:14" ht="36" x14ac:dyDescent="0.25">
      <c r="A228" s="53" t="s">
        <v>0</v>
      </c>
      <c r="B228" s="54" t="s">
        <v>1</v>
      </c>
      <c r="C228" s="54" t="s">
        <v>3</v>
      </c>
      <c r="D228" s="178" t="s">
        <v>171</v>
      </c>
      <c r="E228" s="178"/>
      <c r="F228" s="54" t="s">
        <v>166</v>
      </c>
      <c r="G228" s="54" t="s">
        <v>170</v>
      </c>
      <c r="H228" s="54" t="s">
        <v>167</v>
      </c>
      <c r="I228" s="54" t="s">
        <v>4</v>
      </c>
      <c r="J228" s="54" t="s">
        <v>5</v>
      </c>
      <c r="K228" s="54" t="s">
        <v>2</v>
      </c>
      <c r="L228" s="54" t="s">
        <v>172</v>
      </c>
      <c r="M228" s="54" t="s">
        <v>173</v>
      </c>
      <c r="N228" s="54" t="s">
        <v>169</v>
      </c>
    </row>
    <row r="229" spans="1:14" ht="22.5" customHeight="1" x14ac:dyDescent="0.25">
      <c r="A229" s="1">
        <v>1</v>
      </c>
      <c r="B229" s="4" t="s">
        <v>130</v>
      </c>
      <c r="C229" s="14" t="s">
        <v>135</v>
      </c>
      <c r="D229" s="192" t="s">
        <v>1036</v>
      </c>
      <c r="E229" s="192"/>
      <c r="F229" s="38" t="s">
        <v>151</v>
      </c>
      <c r="G229" s="38" t="s">
        <v>1004</v>
      </c>
      <c r="H229" s="1" t="s">
        <v>15</v>
      </c>
      <c r="I229" s="15">
        <v>42863</v>
      </c>
      <c r="J229" s="1" t="s">
        <v>51</v>
      </c>
      <c r="K229" s="8">
        <v>1582720.7199999997</v>
      </c>
      <c r="L229" s="8">
        <f>K229*0.25</f>
        <v>395680.17999999993</v>
      </c>
      <c r="M229" s="8">
        <f>K229+L229</f>
        <v>1978400.8999999997</v>
      </c>
      <c r="N229" s="176"/>
    </row>
    <row r="230" spans="1:14" ht="15" customHeight="1" x14ac:dyDescent="0.25">
      <c r="A230" s="177" t="s">
        <v>1012</v>
      </c>
      <c r="B230" s="177"/>
      <c r="C230" s="177"/>
      <c r="D230" s="177"/>
      <c r="E230" s="177"/>
      <c r="F230" s="177"/>
      <c r="G230" s="177"/>
      <c r="H230" s="177"/>
      <c r="I230" s="177"/>
      <c r="J230" s="177"/>
      <c r="K230" s="177"/>
      <c r="L230" s="177"/>
      <c r="M230" s="8">
        <v>141513.69</v>
      </c>
      <c r="N230" s="176"/>
    </row>
    <row r="231" spans="1:14" ht="7.5" customHeight="1" x14ac:dyDescent="0.25">
      <c r="L231" s="47"/>
    </row>
    <row r="232" spans="1:14" ht="15" customHeight="1" x14ac:dyDescent="0.25">
      <c r="A232" s="175" t="s">
        <v>12</v>
      </c>
      <c r="B232" s="175"/>
      <c r="C232" s="175"/>
      <c r="D232" s="175"/>
      <c r="E232" s="175"/>
      <c r="F232" s="175"/>
      <c r="G232" s="175"/>
      <c r="H232" s="175"/>
      <c r="I232" s="175"/>
      <c r="J232" s="175"/>
      <c r="K232" s="49"/>
      <c r="L232" s="49"/>
    </row>
    <row r="233" spans="1:14" ht="48" customHeight="1" x14ac:dyDescent="0.25">
      <c r="A233" s="2" t="s">
        <v>0</v>
      </c>
      <c r="B233" s="3" t="s">
        <v>7</v>
      </c>
      <c r="C233" s="3" t="s">
        <v>6</v>
      </c>
      <c r="D233" s="3" t="s">
        <v>8</v>
      </c>
      <c r="E233" s="3" t="s">
        <v>168</v>
      </c>
      <c r="F233" s="3" t="s">
        <v>174</v>
      </c>
      <c r="G233" s="3" t="s">
        <v>175</v>
      </c>
      <c r="H233" s="3" t="s">
        <v>9</v>
      </c>
      <c r="I233" s="3" t="s">
        <v>176</v>
      </c>
      <c r="J233" s="3" t="s">
        <v>10</v>
      </c>
      <c r="K233" s="48"/>
      <c r="L233" s="48"/>
      <c r="M233" s="48"/>
    </row>
    <row r="234" spans="1:14" ht="24" x14ac:dyDescent="0.25">
      <c r="A234" s="38">
        <v>1</v>
      </c>
      <c r="B234" s="60" t="s">
        <v>809</v>
      </c>
      <c r="C234" s="10" t="str">
        <f>"GRUPA 25"</f>
        <v>GRUPA 25</v>
      </c>
      <c r="D234" s="56">
        <v>42998</v>
      </c>
      <c r="E234" s="56">
        <v>43373</v>
      </c>
      <c r="F234" s="8">
        <v>411419.49</v>
      </c>
      <c r="G234" s="8">
        <v>514274.36</v>
      </c>
      <c r="H234" s="56">
        <v>43100</v>
      </c>
      <c r="I234" s="24">
        <v>81344.75</v>
      </c>
      <c r="J234" s="77"/>
    </row>
    <row r="235" spans="1:14" ht="24" x14ac:dyDescent="0.25">
      <c r="A235" s="38">
        <v>2</v>
      </c>
      <c r="B235" s="60" t="s">
        <v>195</v>
      </c>
      <c r="C235" s="10" t="str">
        <f>"511-19-18/1-8395/17"</f>
        <v>511-19-18/1-8395/17</v>
      </c>
      <c r="D235" s="56">
        <v>42957</v>
      </c>
      <c r="E235" s="56">
        <v>43343</v>
      </c>
      <c r="F235" s="8">
        <v>49964.5</v>
      </c>
      <c r="G235" s="8">
        <v>62455.63</v>
      </c>
      <c r="H235" s="56">
        <v>43100</v>
      </c>
      <c r="I235" s="24">
        <v>30558.400000000001</v>
      </c>
      <c r="J235" s="77"/>
    </row>
    <row r="236" spans="1:14" ht="24" x14ac:dyDescent="0.25">
      <c r="A236" s="38">
        <v>3</v>
      </c>
      <c r="B236" s="60" t="s">
        <v>18</v>
      </c>
      <c r="C236" s="10" t="str">
        <f>"SNUG-203-17-050"</f>
        <v>SNUG-203-17-050</v>
      </c>
      <c r="D236" s="56">
        <v>42948</v>
      </c>
      <c r="E236" s="56">
        <v>43313</v>
      </c>
      <c r="F236" s="8">
        <v>92000</v>
      </c>
      <c r="G236" s="8">
        <v>115000</v>
      </c>
      <c r="H236" s="56">
        <v>43100</v>
      </c>
      <c r="I236" s="24">
        <v>26058.662499999999</v>
      </c>
      <c r="J236" s="77"/>
    </row>
    <row r="237" spans="1:14" ht="24" x14ac:dyDescent="0.25">
      <c r="A237" s="38">
        <v>4</v>
      </c>
      <c r="B237" s="60" t="s">
        <v>907</v>
      </c>
      <c r="C237" s="10" t="str">
        <f>"030-08/17-01/7"</f>
        <v>030-08/17-01/7</v>
      </c>
      <c r="D237" s="56">
        <v>42900</v>
      </c>
      <c r="E237" s="56">
        <v>43281</v>
      </c>
      <c r="F237" s="8">
        <v>3998.9</v>
      </c>
      <c r="G237" s="8">
        <v>4998.63</v>
      </c>
      <c r="H237" s="56">
        <v>43100</v>
      </c>
      <c r="I237" s="24">
        <v>1784.0625</v>
      </c>
      <c r="J237" s="77"/>
    </row>
    <row r="238" spans="1:14" ht="24" x14ac:dyDescent="0.25">
      <c r="A238" s="38">
        <v>5</v>
      </c>
      <c r="B238" s="60" t="s">
        <v>482</v>
      </c>
      <c r="C238" s="10" t="str">
        <f>"41 SU-1437/17-GRUPA 25"</f>
        <v>41 SU-1437/17-GRUPA 25</v>
      </c>
      <c r="D238" s="56">
        <v>42884</v>
      </c>
      <c r="E238" s="56">
        <v>43251</v>
      </c>
      <c r="F238" s="8">
        <v>15000</v>
      </c>
      <c r="G238" s="8">
        <v>18750</v>
      </c>
      <c r="H238" s="56">
        <v>43100</v>
      </c>
      <c r="I238" s="24">
        <v>1767.8125</v>
      </c>
      <c r="J238" s="77"/>
    </row>
    <row r="240" spans="1:14" x14ac:dyDescent="0.25">
      <c r="B240" s="174" t="s">
        <v>2028</v>
      </c>
      <c r="C240" s="174"/>
      <c r="D240" s="174"/>
      <c r="E240" s="174"/>
      <c r="F240" s="174"/>
      <c r="G240" s="174"/>
      <c r="H240" s="174"/>
      <c r="I240" s="174"/>
      <c r="J240" s="174"/>
    </row>
  </sheetData>
  <sheetProtection algorithmName="SHA-512" hashValue="8J2au2yp7t87MsA3hJ4dLzgcHOdTQxUIpHV+09u27oM2MBMJQY43KwmKjgY/4D3MVtpPLdW4grW7AftL03QXVQ==" saltValue="Z8M327uYfAO/PBzrB1sphw==" spinCount="100000" sheet="1" objects="1" scenarios="1"/>
  <mergeCells count="31">
    <mergeCell ref="A1:N1"/>
    <mergeCell ref="D2:E2"/>
    <mergeCell ref="D3:E3"/>
    <mergeCell ref="N3:N4"/>
    <mergeCell ref="A4:L4"/>
    <mergeCell ref="A204:J204"/>
    <mergeCell ref="A227:N227"/>
    <mergeCell ref="D228:E228"/>
    <mergeCell ref="A6:J6"/>
    <mergeCell ref="A138:N138"/>
    <mergeCell ref="D139:E139"/>
    <mergeCell ref="N140:N141"/>
    <mergeCell ref="D140:E140"/>
    <mergeCell ref="A141:L141"/>
    <mergeCell ref="A143:J143"/>
    <mergeCell ref="A163:N163"/>
    <mergeCell ref="D164:E164"/>
    <mergeCell ref="D201:E201"/>
    <mergeCell ref="N201:N202"/>
    <mergeCell ref="A202:L202"/>
    <mergeCell ref="A199:N199"/>
    <mergeCell ref="D200:E200"/>
    <mergeCell ref="D165:E165"/>
    <mergeCell ref="N165:N166"/>
    <mergeCell ref="A166:L166"/>
    <mergeCell ref="A168:J168"/>
    <mergeCell ref="B240:J240"/>
    <mergeCell ref="D229:E229"/>
    <mergeCell ref="N229:N230"/>
    <mergeCell ref="A230:L230"/>
    <mergeCell ref="A232:J232"/>
  </mergeCells>
  <pageMargins left="0.23622047244094491" right="0.23622047244094491" top="0.98425196850393704" bottom="0.59055118110236227" header="0.31496062992125984" footer="0.31496062992125984"/>
  <pageSetup scale="69" fitToHeight="0" orientation="landscape" r:id="rId1"/>
  <headerFooter>
    <oddHeader>&amp;L&amp;G&amp;CRegistar okvirnih sporazuma i ugovora za 2016. godinu 
za predmete nabave iz nadležnosti Središnjeg državnog ureda za središnju javnu nabavu</oddHeader>
    <oddFooter>&amp;L&amp;D&amp;C &amp;A&amp;R&amp;P/&amp;N</oddFooter>
  </headerFooter>
  <ignoredErrors>
    <ignoredError sqref="C207 C118" twoDigitTextYear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N115"/>
  <sheetViews>
    <sheetView view="pageLayout" zoomScaleNormal="100" workbookViewId="0">
      <selection sqref="A1:N1"/>
    </sheetView>
  </sheetViews>
  <sheetFormatPr defaultRowHeight="15" x14ac:dyDescent="0.25"/>
  <cols>
    <col min="1" max="1" width="4.85546875" customWidth="1"/>
    <col min="2" max="2" width="26.140625" customWidth="1"/>
    <col min="3" max="3" width="12" customWidth="1"/>
    <col min="4" max="4" width="13.42578125" customWidth="1"/>
    <col min="5" max="5" width="14" customWidth="1"/>
    <col min="6" max="6" width="15.28515625" customWidth="1"/>
    <col min="7" max="10" width="13.5703125" customWidth="1"/>
    <col min="11" max="13" width="14.28515625" customWidth="1"/>
    <col min="14" max="14" width="11.42578125" customWidth="1"/>
  </cols>
  <sheetData>
    <row r="1" spans="1:14" x14ac:dyDescent="0.25">
      <c r="A1" s="175" t="s">
        <v>40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36" x14ac:dyDescent="0.25">
      <c r="A2" s="53" t="s">
        <v>0</v>
      </c>
      <c r="B2" s="54" t="s">
        <v>1</v>
      </c>
      <c r="C2" s="54" t="s">
        <v>3</v>
      </c>
      <c r="D2" s="178" t="s">
        <v>171</v>
      </c>
      <c r="E2" s="178"/>
      <c r="F2" s="54" t="s">
        <v>166</v>
      </c>
      <c r="G2" s="54" t="s">
        <v>170</v>
      </c>
      <c r="H2" s="54" t="s">
        <v>167</v>
      </c>
      <c r="I2" s="54" t="s">
        <v>4</v>
      </c>
      <c r="J2" s="54" t="s">
        <v>5</v>
      </c>
      <c r="K2" s="54" t="s">
        <v>2</v>
      </c>
      <c r="L2" s="54" t="s">
        <v>172</v>
      </c>
      <c r="M2" s="54" t="s">
        <v>173</v>
      </c>
      <c r="N2" s="54" t="s">
        <v>169</v>
      </c>
    </row>
    <row r="3" spans="1:14" ht="36.75" customHeight="1" x14ac:dyDescent="0.25">
      <c r="A3" s="1">
        <v>1</v>
      </c>
      <c r="B3" s="18" t="s">
        <v>129</v>
      </c>
      <c r="C3" s="1" t="s">
        <v>120</v>
      </c>
      <c r="D3" s="192" t="s">
        <v>1037</v>
      </c>
      <c r="E3" s="192"/>
      <c r="F3" s="1" t="s">
        <v>149</v>
      </c>
      <c r="G3" s="1" t="s">
        <v>1005</v>
      </c>
      <c r="H3" s="1" t="s">
        <v>15</v>
      </c>
      <c r="I3" s="15" t="s">
        <v>128</v>
      </c>
      <c r="J3" s="1" t="s">
        <v>57</v>
      </c>
      <c r="K3" s="8">
        <v>13204215.119999999</v>
      </c>
      <c r="L3" s="8">
        <f>K3*0.25</f>
        <v>3301053.78</v>
      </c>
      <c r="M3" s="8">
        <f>K3+L3</f>
        <v>16505268.899999999</v>
      </c>
      <c r="N3" s="176"/>
    </row>
    <row r="4" spans="1:14" ht="15" customHeight="1" x14ac:dyDescent="0.25">
      <c r="A4" s="177" t="s">
        <v>1012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8">
        <v>5215337.41</v>
      </c>
      <c r="N4" s="176"/>
    </row>
    <row r="5" spans="1:14" ht="7.5" customHeight="1" x14ac:dyDescent="0.25">
      <c r="L5" s="47"/>
    </row>
    <row r="6" spans="1:14" ht="15" customHeight="1" x14ac:dyDescent="0.25">
      <c r="A6" s="175" t="s">
        <v>12</v>
      </c>
      <c r="B6" s="175"/>
      <c r="C6" s="175"/>
      <c r="D6" s="175"/>
      <c r="E6" s="175"/>
      <c r="F6" s="175"/>
      <c r="G6" s="175"/>
      <c r="H6" s="175"/>
      <c r="I6" s="175"/>
      <c r="J6" s="175"/>
      <c r="K6" s="49"/>
      <c r="L6" s="49"/>
    </row>
    <row r="7" spans="1:14" ht="48" customHeight="1" x14ac:dyDescent="0.25">
      <c r="A7" s="2" t="s">
        <v>0</v>
      </c>
      <c r="B7" s="3" t="s">
        <v>7</v>
      </c>
      <c r="C7" s="3" t="s">
        <v>6</v>
      </c>
      <c r="D7" s="3" t="s">
        <v>8</v>
      </c>
      <c r="E7" s="3" t="s">
        <v>168</v>
      </c>
      <c r="F7" s="3" t="s">
        <v>174</v>
      </c>
      <c r="G7" s="3" t="s">
        <v>175</v>
      </c>
      <c r="H7" s="3" t="s">
        <v>9</v>
      </c>
      <c r="I7" s="3" t="s">
        <v>176</v>
      </c>
      <c r="J7" s="3" t="s">
        <v>10</v>
      </c>
      <c r="K7" s="48"/>
      <c r="L7" s="48"/>
      <c r="M7" s="48"/>
    </row>
    <row r="8" spans="1:14" ht="24" x14ac:dyDescent="0.25">
      <c r="A8" s="38">
        <v>1</v>
      </c>
      <c r="B8" s="60" t="s">
        <v>190</v>
      </c>
      <c r="C8" s="10" t="str">
        <f>"8902/2017"</f>
        <v>8902/2017</v>
      </c>
      <c r="D8" s="56">
        <v>43087</v>
      </c>
      <c r="E8" s="56">
        <v>43091</v>
      </c>
      <c r="F8" s="8">
        <v>113992.3</v>
      </c>
      <c r="G8" s="8">
        <v>142490.38</v>
      </c>
      <c r="H8" s="56">
        <v>43091</v>
      </c>
      <c r="I8" s="24">
        <v>286141.4375</v>
      </c>
      <c r="J8" s="77"/>
    </row>
    <row r="9" spans="1:14" ht="24" x14ac:dyDescent="0.25">
      <c r="A9" s="115">
        <v>2</v>
      </c>
      <c r="B9" s="60" t="s">
        <v>203</v>
      </c>
      <c r="C9" s="10" t="str">
        <f>"U-4/VV/2017"</f>
        <v>U-4/VV/2017</v>
      </c>
      <c r="D9" s="56">
        <v>43063</v>
      </c>
      <c r="E9" s="56">
        <v>43110</v>
      </c>
      <c r="F9" s="8">
        <v>1039671.8</v>
      </c>
      <c r="G9" s="8">
        <v>1299589.75</v>
      </c>
      <c r="H9" s="56">
        <v>43100</v>
      </c>
      <c r="I9" s="24">
        <v>853054</v>
      </c>
      <c r="J9" s="77"/>
    </row>
    <row r="10" spans="1:14" ht="36" x14ac:dyDescent="0.25">
      <c r="A10" s="115">
        <v>3</v>
      </c>
      <c r="B10" s="60" t="s">
        <v>185</v>
      </c>
      <c r="C10" s="10" t="str">
        <f>"1/2017-1 UGOVOR MIZ - GRUPA 1"</f>
        <v>1/2017-1 UGOVOR MIZ - GRUPA 1</v>
      </c>
      <c r="D10" s="56">
        <v>43060</v>
      </c>
      <c r="E10" s="56">
        <v>43100</v>
      </c>
      <c r="F10" s="8">
        <v>546867</v>
      </c>
      <c r="G10" s="8">
        <v>683583.75</v>
      </c>
      <c r="H10" s="56">
        <v>43100</v>
      </c>
      <c r="I10" s="24">
        <v>683583.75</v>
      </c>
      <c r="J10" s="77"/>
    </row>
    <row r="11" spans="1:14" ht="24" x14ac:dyDescent="0.25">
      <c r="A11" s="115">
        <v>4</v>
      </c>
      <c r="B11" s="60" t="s">
        <v>200</v>
      </c>
      <c r="C11" s="10" t="str">
        <f>"406-01/17-01/00052-1"</f>
        <v>406-01/17-01/00052-1</v>
      </c>
      <c r="D11" s="56">
        <v>43049</v>
      </c>
      <c r="E11" s="56">
        <v>43061</v>
      </c>
      <c r="F11" s="8">
        <v>9396.7199999999993</v>
      </c>
      <c r="G11" s="8">
        <v>11745.9</v>
      </c>
      <c r="H11" s="56">
        <v>43100</v>
      </c>
      <c r="I11" s="24">
        <v>11745.9</v>
      </c>
      <c r="J11" s="77"/>
    </row>
    <row r="12" spans="1:14" ht="36" x14ac:dyDescent="0.25">
      <c r="A12" s="115">
        <v>5</v>
      </c>
      <c r="B12" s="60" t="s">
        <v>189</v>
      </c>
      <c r="C12" s="10" t="str">
        <f>"03-A-A-0775/17-21"</f>
        <v>03-A-A-0775/17-21</v>
      </c>
      <c r="D12" s="56">
        <v>43035</v>
      </c>
      <c r="E12" s="56">
        <v>43100</v>
      </c>
      <c r="F12" s="8">
        <v>345073.8</v>
      </c>
      <c r="G12" s="8">
        <v>431342.25</v>
      </c>
      <c r="H12" s="56">
        <v>43100</v>
      </c>
      <c r="I12" s="24">
        <v>431342.25</v>
      </c>
      <c r="J12" s="77"/>
    </row>
    <row r="13" spans="1:14" ht="24" x14ac:dyDescent="0.25">
      <c r="A13" s="115">
        <v>6</v>
      </c>
      <c r="B13" s="60" t="s">
        <v>194</v>
      </c>
      <c r="C13" s="10" t="str">
        <f>"2352/17"</f>
        <v>2352/17</v>
      </c>
      <c r="D13" s="56">
        <v>43032</v>
      </c>
      <c r="E13" s="56">
        <v>43078</v>
      </c>
      <c r="F13" s="8">
        <v>743739.12</v>
      </c>
      <c r="G13" s="8">
        <v>929673.9</v>
      </c>
      <c r="H13" s="56">
        <v>43099</v>
      </c>
      <c r="I13" s="24">
        <v>929673.9</v>
      </c>
      <c r="J13" s="77"/>
    </row>
    <row r="14" spans="1:14" ht="36" x14ac:dyDescent="0.25">
      <c r="A14" s="115">
        <v>7</v>
      </c>
      <c r="B14" s="60" t="s">
        <v>206</v>
      </c>
      <c r="C14" s="10" t="str">
        <f>"RAČUNALA I RAČ.OPREMA-GRUPA 1"</f>
        <v>RAČUNALA I RAČ.OPREMA-GRUPA 1</v>
      </c>
      <c r="D14" s="56">
        <v>43026</v>
      </c>
      <c r="E14" s="56">
        <v>43100</v>
      </c>
      <c r="F14" s="8">
        <v>17280.55</v>
      </c>
      <c r="G14" s="8">
        <v>21600.69</v>
      </c>
      <c r="H14" s="56">
        <v>43100</v>
      </c>
      <c r="I14" s="24">
        <v>21600.6875</v>
      </c>
      <c r="J14" s="77"/>
    </row>
    <row r="15" spans="1:14" ht="24" x14ac:dyDescent="0.25">
      <c r="A15" s="115">
        <v>8</v>
      </c>
      <c r="B15" s="60" t="s">
        <v>204</v>
      </c>
      <c r="C15" s="10" t="str">
        <f>"1/2017-1-17/95--1"</f>
        <v>1/2017-1-17/95--1</v>
      </c>
      <c r="D15" s="56">
        <v>43052</v>
      </c>
      <c r="E15" s="56">
        <v>43069</v>
      </c>
      <c r="F15" s="8">
        <v>435991.32</v>
      </c>
      <c r="G15" s="8">
        <v>544989.15</v>
      </c>
      <c r="H15" s="56">
        <v>43080</v>
      </c>
      <c r="I15" s="24">
        <v>535961.97499999998</v>
      </c>
      <c r="J15" s="77"/>
    </row>
    <row r="16" spans="1:14" ht="24" x14ac:dyDescent="0.25">
      <c r="A16" s="115">
        <v>9</v>
      </c>
      <c r="B16" s="60" t="s">
        <v>203</v>
      </c>
      <c r="C16" s="10" t="str">
        <f>"U-20-MV/2017"</f>
        <v>U-20-MV/2017</v>
      </c>
      <c r="D16" s="56">
        <v>43024</v>
      </c>
      <c r="E16" s="56">
        <v>43070</v>
      </c>
      <c r="F16" s="8">
        <v>77664.3</v>
      </c>
      <c r="G16" s="8">
        <v>97080.38</v>
      </c>
      <c r="H16" s="56">
        <v>43100</v>
      </c>
      <c r="I16" s="24">
        <v>97080.375</v>
      </c>
      <c r="J16" s="77"/>
      <c r="K16" s="48"/>
    </row>
    <row r="17" spans="1:14" ht="36" x14ac:dyDescent="0.25">
      <c r="A17" s="115">
        <v>10</v>
      </c>
      <c r="B17" s="60" t="s">
        <v>191</v>
      </c>
      <c r="C17" s="10" t="str">
        <f>"MFIN KL:406-01/16-01/210UR13"</f>
        <v>MFIN KL:406-01/16-01/210UR13</v>
      </c>
      <c r="D17" s="56">
        <v>43019</v>
      </c>
      <c r="E17" s="56">
        <v>43065</v>
      </c>
      <c r="F17" s="8">
        <v>11094.9</v>
      </c>
      <c r="G17" s="8">
        <v>13868.63</v>
      </c>
      <c r="H17" s="56">
        <v>43065</v>
      </c>
      <c r="I17" s="24">
        <v>13868.637500000001</v>
      </c>
      <c r="J17" s="77"/>
      <c r="K17" s="48"/>
    </row>
    <row r="18" spans="1:14" ht="24" x14ac:dyDescent="0.25">
      <c r="A18" s="115">
        <v>11</v>
      </c>
      <c r="B18" s="60" t="s">
        <v>18</v>
      </c>
      <c r="C18" s="10" t="str">
        <f>"SNUG-204-17-054"</f>
        <v>SNUG-204-17-054</v>
      </c>
      <c r="D18" s="56">
        <v>43019</v>
      </c>
      <c r="E18" s="56">
        <v>43100</v>
      </c>
      <c r="F18" s="8">
        <v>1067937.6000000001</v>
      </c>
      <c r="G18" s="8">
        <v>1334922</v>
      </c>
      <c r="H18" s="56">
        <v>43100</v>
      </c>
      <c r="I18" s="24">
        <v>1334922</v>
      </c>
      <c r="J18" s="77"/>
      <c r="K18" s="48"/>
    </row>
    <row r="19" spans="1:14" ht="24" x14ac:dyDescent="0.25">
      <c r="A19" s="115">
        <v>12</v>
      </c>
      <c r="B19" s="60" t="s">
        <v>279</v>
      </c>
      <c r="C19" s="10" t="str">
        <f>"1-2017-1"</f>
        <v>1-2017-1</v>
      </c>
      <c r="D19" s="56">
        <v>42950</v>
      </c>
      <c r="E19" s="56">
        <v>43680</v>
      </c>
      <c r="F19" s="8">
        <v>20000</v>
      </c>
      <c r="G19" s="8">
        <v>25000</v>
      </c>
      <c r="H19" s="56">
        <v>43100</v>
      </c>
      <c r="I19" s="24">
        <v>16362.5</v>
      </c>
      <c r="J19" s="77"/>
    </row>
    <row r="20" spans="1:14" ht="7.5" customHeight="1" x14ac:dyDescent="0.25"/>
    <row r="21" spans="1:14" x14ac:dyDescent="0.25">
      <c r="A21" s="175" t="s">
        <v>40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</row>
    <row r="22" spans="1:14" ht="36" x14ac:dyDescent="0.25">
      <c r="A22" s="53" t="s">
        <v>0</v>
      </c>
      <c r="B22" s="54" t="s">
        <v>1</v>
      </c>
      <c r="C22" s="54" t="s">
        <v>3</v>
      </c>
      <c r="D22" s="178" t="s">
        <v>171</v>
      </c>
      <c r="E22" s="178"/>
      <c r="F22" s="54" t="s">
        <v>166</v>
      </c>
      <c r="G22" s="54" t="s">
        <v>170</v>
      </c>
      <c r="H22" s="54" t="s">
        <v>167</v>
      </c>
      <c r="I22" s="54" t="s">
        <v>4</v>
      </c>
      <c r="J22" s="54" t="s">
        <v>5</v>
      </c>
      <c r="K22" s="54" t="s">
        <v>2</v>
      </c>
      <c r="L22" s="54" t="s">
        <v>172</v>
      </c>
      <c r="M22" s="54" t="s">
        <v>173</v>
      </c>
      <c r="N22" s="54" t="s">
        <v>169</v>
      </c>
    </row>
    <row r="23" spans="1:14" ht="35.25" customHeight="1" x14ac:dyDescent="0.25">
      <c r="A23" s="1">
        <v>1</v>
      </c>
      <c r="B23" s="18" t="s">
        <v>129</v>
      </c>
      <c r="C23" s="1" t="s">
        <v>121</v>
      </c>
      <c r="D23" s="192" t="s">
        <v>1037</v>
      </c>
      <c r="E23" s="192"/>
      <c r="F23" s="1" t="s">
        <v>149</v>
      </c>
      <c r="G23" s="1" t="s">
        <v>1005</v>
      </c>
      <c r="H23" s="1" t="s">
        <v>15</v>
      </c>
      <c r="I23" s="15" t="s">
        <v>128</v>
      </c>
      <c r="J23" s="1" t="s">
        <v>57</v>
      </c>
      <c r="K23" s="8">
        <v>11326385.41</v>
      </c>
      <c r="L23" s="8">
        <f>K23*0.25</f>
        <v>2831596.3525</v>
      </c>
      <c r="M23" s="8">
        <f>K23+L23</f>
        <v>14157981.762499999</v>
      </c>
      <c r="N23" s="176"/>
    </row>
    <row r="24" spans="1:14" ht="15" customHeight="1" x14ac:dyDescent="0.25">
      <c r="A24" s="177" t="s">
        <v>1012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8">
        <v>1781804.71</v>
      </c>
      <c r="N24" s="176"/>
    </row>
    <row r="25" spans="1:14" ht="7.5" customHeight="1" x14ac:dyDescent="0.25">
      <c r="L25" s="47"/>
    </row>
    <row r="26" spans="1:14" ht="15" customHeight="1" x14ac:dyDescent="0.25">
      <c r="A26" s="175" t="s">
        <v>12</v>
      </c>
      <c r="B26" s="175"/>
      <c r="C26" s="175"/>
      <c r="D26" s="175"/>
      <c r="E26" s="175"/>
      <c r="F26" s="175"/>
      <c r="G26" s="175"/>
      <c r="H26" s="175"/>
      <c r="I26" s="175"/>
      <c r="J26" s="175"/>
      <c r="K26" s="49"/>
      <c r="L26" s="49"/>
    </row>
    <row r="27" spans="1:14" ht="48" customHeight="1" x14ac:dyDescent="0.25">
      <c r="A27" s="2" t="s">
        <v>0</v>
      </c>
      <c r="B27" s="3" t="s">
        <v>7</v>
      </c>
      <c r="C27" s="3" t="s">
        <v>6</v>
      </c>
      <c r="D27" s="3" t="s">
        <v>8</v>
      </c>
      <c r="E27" s="3" t="s">
        <v>168</v>
      </c>
      <c r="F27" s="3" t="s">
        <v>174</v>
      </c>
      <c r="G27" s="3" t="s">
        <v>175</v>
      </c>
      <c r="H27" s="3" t="s">
        <v>9</v>
      </c>
      <c r="I27" s="3" t="s">
        <v>176</v>
      </c>
      <c r="J27" s="3" t="s">
        <v>10</v>
      </c>
      <c r="K27" s="48"/>
      <c r="L27" s="48"/>
      <c r="M27" s="48"/>
    </row>
    <row r="28" spans="1:14" ht="24" x14ac:dyDescent="0.25">
      <c r="A28" s="38">
        <v>1</v>
      </c>
      <c r="B28" s="60" t="s">
        <v>197</v>
      </c>
      <c r="C28" s="10" t="str">
        <f>"U083/17"</f>
        <v>U083/17</v>
      </c>
      <c r="D28" s="56">
        <v>43098</v>
      </c>
      <c r="E28" s="56">
        <v>43112</v>
      </c>
      <c r="F28" s="8">
        <v>120425.5</v>
      </c>
      <c r="G28" s="8">
        <v>150531.88</v>
      </c>
      <c r="H28" s="56">
        <v>43100</v>
      </c>
      <c r="I28" s="24">
        <v>0</v>
      </c>
      <c r="J28" s="77"/>
    </row>
    <row r="29" spans="1:14" ht="24" x14ac:dyDescent="0.25">
      <c r="A29" s="38">
        <v>2</v>
      </c>
      <c r="B29" s="60" t="s">
        <v>193</v>
      </c>
      <c r="C29" s="10" t="str">
        <f>"O-17/1791"</f>
        <v>O-17/1791</v>
      </c>
      <c r="D29" s="56">
        <v>43014</v>
      </c>
      <c r="E29" s="56">
        <v>43100</v>
      </c>
      <c r="F29" s="8">
        <v>77314.05</v>
      </c>
      <c r="G29" s="8">
        <v>96642.559999999998</v>
      </c>
      <c r="H29" s="56">
        <v>43100</v>
      </c>
      <c r="I29" s="24">
        <v>96642.5625</v>
      </c>
      <c r="J29" s="77"/>
    </row>
    <row r="30" spans="1:14" ht="24" x14ac:dyDescent="0.25">
      <c r="A30" s="38">
        <v>3</v>
      </c>
      <c r="B30" s="60" t="s">
        <v>196</v>
      </c>
      <c r="C30" s="10" t="str">
        <f>"MGPU 1/2017-2"</f>
        <v>MGPU 1/2017-2</v>
      </c>
      <c r="D30" s="56">
        <v>43013</v>
      </c>
      <c r="E30" s="56">
        <v>43059</v>
      </c>
      <c r="F30" s="8">
        <v>448815.88</v>
      </c>
      <c r="G30" s="8">
        <v>561019.85</v>
      </c>
      <c r="H30" s="56">
        <v>43059</v>
      </c>
      <c r="I30" s="24">
        <v>561019.85</v>
      </c>
      <c r="J30" s="77"/>
    </row>
    <row r="31" spans="1:14" ht="24" x14ac:dyDescent="0.25">
      <c r="A31" s="38">
        <v>4</v>
      </c>
      <c r="B31" s="60" t="s">
        <v>193</v>
      </c>
      <c r="C31" s="10" t="str">
        <f>"O-17/1766"</f>
        <v>O-17/1766</v>
      </c>
      <c r="D31" s="56">
        <v>43012</v>
      </c>
      <c r="E31" s="56">
        <v>43100</v>
      </c>
      <c r="F31" s="8">
        <v>57052.93</v>
      </c>
      <c r="G31" s="8">
        <v>71316.160000000003</v>
      </c>
      <c r="H31" s="56">
        <v>43100</v>
      </c>
      <c r="I31" s="24">
        <v>71316.162500000006</v>
      </c>
      <c r="J31" s="77"/>
    </row>
    <row r="32" spans="1:14" x14ac:dyDescent="0.25">
      <c r="A32" s="38">
        <v>5</v>
      </c>
      <c r="B32" s="60" t="s">
        <v>278</v>
      </c>
      <c r="C32" s="10" t="str">
        <f>"166/2017"</f>
        <v>166/2017</v>
      </c>
      <c r="D32" s="56">
        <v>43005</v>
      </c>
      <c r="E32" s="56">
        <v>43049</v>
      </c>
      <c r="F32" s="8">
        <v>981699.25</v>
      </c>
      <c r="G32" s="8">
        <v>1227124.06</v>
      </c>
      <c r="H32" s="56">
        <v>43049</v>
      </c>
      <c r="I32" s="24">
        <v>1052826.1375</v>
      </c>
      <c r="J32" s="77"/>
    </row>
    <row r="33" spans="1:14" ht="7.5" customHeight="1" x14ac:dyDescent="0.25"/>
    <row r="34" spans="1:14" x14ac:dyDescent="0.25">
      <c r="A34" s="175" t="s">
        <v>40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</row>
    <row r="35" spans="1:14" ht="36" x14ac:dyDescent="0.25">
      <c r="A35" s="53" t="s">
        <v>0</v>
      </c>
      <c r="B35" s="54" t="s">
        <v>1</v>
      </c>
      <c r="C35" s="54" t="s">
        <v>3</v>
      </c>
      <c r="D35" s="178" t="s">
        <v>171</v>
      </c>
      <c r="E35" s="178"/>
      <c r="F35" s="54" t="s">
        <v>166</v>
      </c>
      <c r="G35" s="54" t="s">
        <v>170</v>
      </c>
      <c r="H35" s="54" t="s">
        <v>167</v>
      </c>
      <c r="I35" s="54" t="s">
        <v>4</v>
      </c>
      <c r="J35" s="54" t="s">
        <v>5</v>
      </c>
      <c r="K35" s="54" t="s">
        <v>2</v>
      </c>
      <c r="L35" s="54" t="s">
        <v>172</v>
      </c>
      <c r="M35" s="54" t="s">
        <v>173</v>
      </c>
      <c r="N35" s="54" t="s">
        <v>169</v>
      </c>
    </row>
    <row r="36" spans="1:14" ht="36.75" customHeight="1" x14ac:dyDescent="0.25">
      <c r="A36" s="1">
        <v>1</v>
      </c>
      <c r="B36" s="18" t="s">
        <v>129</v>
      </c>
      <c r="C36" s="1" t="s">
        <v>122</v>
      </c>
      <c r="D36" s="192" t="s">
        <v>1037</v>
      </c>
      <c r="E36" s="192"/>
      <c r="F36" s="1" t="s">
        <v>149</v>
      </c>
      <c r="G36" s="1" t="s">
        <v>1005</v>
      </c>
      <c r="H36" s="1" t="s">
        <v>15</v>
      </c>
      <c r="I36" s="15" t="s">
        <v>128</v>
      </c>
      <c r="J36" s="1" t="s">
        <v>57</v>
      </c>
      <c r="K36" s="8">
        <v>19599562.469999999</v>
      </c>
      <c r="L36" s="8">
        <f>K36*0.25</f>
        <v>4899890.6174999997</v>
      </c>
      <c r="M36" s="8">
        <f>K36+L36</f>
        <v>24499453.087499999</v>
      </c>
      <c r="N36" s="176"/>
    </row>
    <row r="37" spans="1:14" ht="15" customHeight="1" x14ac:dyDescent="0.25">
      <c r="A37" s="177" t="s">
        <v>1012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8">
        <v>1674427.96</v>
      </c>
      <c r="N37" s="176"/>
    </row>
    <row r="38" spans="1:14" ht="7.5" customHeight="1" x14ac:dyDescent="0.25">
      <c r="L38" s="47"/>
    </row>
    <row r="39" spans="1:14" ht="15" customHeight="1" x14ac:dyDescent="0.25">
      <c r="A39" s="175" t="s">
        <v>12</v>
      </c>
      <c r="B39" s="175"/>
      <c r="C39" s="175"/>
      <c r="D39" s="175"/>
      <c r="E39" s="175"/>
      <c r="F39" s="175"/>
      <c r="G39" s="175"/>
      <c r="H39" s="175"/>
      <c r="I39" s="175"/>
      <c r="J39" s="175"/>
      <c r="K39" s="49"/>
      <c r="L39" s="49"/>
    </row>
    <row r="40" spans="1:14" ht="48" customHeight="1" x14ac:dyDescent="0.25">
      <c r="A40" s="2" t="s">
        <v>0</v>
      </c>
      <c r="B40" s="3" t="s">
        <v>7</v>
      </c>
      <c r="C40" s="3" t="s">
        <v>6</v>
      </c>
      <c r="D40" s="3" t="s">
        <v>8</v>
      </c>
      <c r="E40" s="3" t="s">
        <v>168</v>
      </c>
      <c r="F40" s="3" t="s">
        <v>174</v>
      </c>
      <c r="G40" s="3" t="s">
        <v>175</v>
      </c>
      <c r="H40" s="3" t="s">
        <v>9</v>
      </c>
      <c r="I40" s="3" t="s">
        <v>176</v>
      </c>
      <c r="J40" s="3" t="s">
        <v>10</v>
      </c>
      <c r="K40" s="48"/>
      <c r="L40" s="48"/>
      <c r="M40" s="48"/>
    </row>
    <row r="41" spans="1:14" ht="24" x14ac:dyDescent="0.25">
      <c r="A41" s="38">
        <v>1</v>
      </c>
      <c r="B41" s="60" t="s">
        <v>200</v>
      </c>
      <c r="C41" s="10" t="str">
        <f>"406-01/17-01/00052"</f>
        <v>406-01/17-01/00052</v>
      </c>
      <c r="D41" s="56">
        <v>43049</v>
      </c>
      <c r="E41" s="56">
        <v>43061</v>
      </c>
      <c r="F41" s="8">
        <v>339367.17</v>
      </c>
      <c r="G41" s="8">
        <v>424208.96</v>
      </c>
      <c r="H41" s="56">
        <v>43100</v>
      </c>
      <c r="I41" s="24">
        <v>435954.86250000005</v>
      </c>
      <c r="J41" s="77"/>
    </row>
    <row r="42" spans="1:14" ht="24" x14ac:dyDescent="0.25">
      <c r="A42" s="115">
        <v>2</v>
      </c>
      <c r="B42" s="60" t="s">
        <v>200</v>
      </c>
      <c r="C42" s="10" t="str">
        <f>"4500014143"</f>
        <v>4500014143</v>
      </c>
      <c r="D42" s="56">
        <v>43033</v>
      </c>
      <c r="E42" s="56">
        <v>43033</v>
      </c>
      <c r="F42" s="8">
        <v>17861.43</v>
      </c>
      <c r="G42" s="8">
        <v>22326.79</v>
      </c>
      <c r="H42" s="56">
        <v>43100</v>
      </c>
      <c r="I42" s="24">
        <v>22326.787499999999</v>
      </c>
      <c r="J42" s="77"/>
    </row>
    <row r="43" spans="1:14" ht="24" x14ac:dyDescent="0.25">
      <c r="A43" s="115">
        <v>3</v>
      </c>
      <c r="B43" s="60" t="s">
        <v>203</v>
      </c>
      <c r="C43" s="10" t="str">
        <f>"U-21-MV/2017"</f>
        <v>U-21-MV/2017</v>
      </c>
      <c r="D43" s="56">
        <v>43024</v>
      </c>
      <c r="E43" s="56">
        <v>43070</v>
      </c>
      <c r="F43" s="8">
        <v>476304.8</v>
      </c>
      <c r="G43" s="8">
        <v>595381</v>
      </c>
      <c r="H43" s="56">
        <v>43100</v>
      </c>
      <c r="I43" s="24">
        <v>595381</v>
      </c>
      <c r="J43" s="77"/>
    </row>
    <row r="44" spans="1:14" ht="36" x14ac:dyDescent="0.25">
      <c r="A44" s="115">
        <v>4</v>
      </c>
      <c r="B44" s="60" t="s">
        <v>97</v>
      </c>
      <c r="C44" s="10" t="str">
        <f>"030-01/16-01/77"</f>
        <v>030-01/16-01/77</v>
      </c>
      <c r="D44" s="56">
        <v>43024</v>
      </c>
      <c r="E44" s="56">
        <v>43070</v>
      </c>
      <c r="F44" s="8">
        <v>1927800</v>
      </c>
      <c r="G44" s="8">
        <v>2409750</v>
      </c>
      <c r="H44" s="162"/>
      <c r="I44" s="167">
        <v>0</v>
      </c>
      <c r="J44" s="77"/>
    </row>
    <row r="45" spans="1:14" ht="24" x14ac:dyDescent="0.25">
      <c r="A45" s="115">
        <v>5</v>
      </c>
      <c r="B45" s="60" t="s">
        <v>204</v>
      </c>
      <c r="C45" s="10" t="str">
        <f>"1/2017-3-17/95-2"</f>
        <v>1/2017-3-17/95-2</v>
      </c>
      <c r="D45" s="56">
        <v>43024</v>
      </c>
      <c r="E45" s="56">
        <v>43069</v>
      </c>
      <c r="F45" s="8">
        <v>51408</v>
      </c>
      <c r="G45" s="8">
        <v>64260</v>
      </c>
      <c r="H45" s="56">
        <v>43069</v>
      </c>
      <c r="I45" s="24">
        <v>64260</v>
      </c>
      <c r="J45" s="77"/>
    </row>
    <row r="46" spans="1:14" ht="36" x14ac:dyDescent="0.25">
      <c r="A46" s="115">
        <v>6</v>
      </c>
      <c r="B46" s="60" t="s">
        <v>191</v>
      </c>
      <c r="C46" s="10" t="str">
        <f>"MFIN.KL:406-01/16-01/210URB-14"</f>
        <v>MFIN.KL:406-01/16-01/210URB-14</v>
      </c>
      <c r="D46" s="56">
        <v>43019</v>
      </c>
      <c r="E46" s="56">
        <v>43065</v>
      </c>
      <c r="F46" s="8">
        <v>378267.7</v>
      </c>
      <c r="G46" s="8">
        <v>472834.63</v>
      </c>
      <c r="H46" s="56">
        <v>43065</v>
      </c>
      <c r="I46" s="24">
        <v>472834.63750000001</v>
      </c>
      <c r="J46" s="77"/>
    </row>
    <row r="47" spans="1:14" ht="24" x14ac:dyDescent="0.25">
      <c r="A47" s="115">
        <v>7</v>
      </c>
      <c r="B47" s="60" t="s">
        <v>279</v>
      </c>
      <c r="C47" s="10" t="str">
        <f>"1-2017-3"</f>
        <v>1-2017-3</v>
      </c>
      <c r="D47" s="56">
        <v>42950</v>
      </c>
      <c r="E47" s="56">
        <v>43680</v>
      </c>
      <c r="F47" s="8">
        <v>0</v>
      </c>
      <c r="G47" s="8">
        <v>0</v>
      </c>
      <c r="H47" s="56">
        <v>43100</v>
      </c>
      <c r="I47" s="24">
        <v>83670.674999999988</v>
      </c>
      <c r="J47" s="77"/>
    </row>
    <row r="48" spans="1:14" ht="7.5" customHeight="1" x14ac:dyDescent="0.25"/>
    <row r="49" spans="1:14" x14ac:dyDescent="0.25">
      <c r="A49" s="175" t="s">
        <v>40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</row>
    <row r="50" spans="1:14" ht="36" x14ac:dyDescent="0.25">
      <c r="A50" s="53" t="s">
        <v>0</v>
      </c>
      <c r="B50" s="54" t="s">
        <v>1</v>
      </c>
      <c r="C50" s="54" t="s">
        <v>3</v>
      </c>
      <c r="D50" s="178" t="s">
        <v>171</v>
      </c>
      <c r="E50" s="178"/>
      <c r="F50" s="54" t="s">
        <v>166</v>
      </c>
      <c r="G50" s="54" t="s">
        <v>170</v>
      </c>
      <c r="H50" s="54" t="s">
        <v>167</v>
      </c>
      <c r="I50" s="54" t="s">
        <v>4</v>
      </c>
      <c r="J50" s="54" t="s">
        <v>5</v>
      </c>
      <c r="K50" s="54" t="s">
        <v>2</v>
      </c>
      <c r="L50" s="54" t="s">
        <v>172</v>
      </c>
      <c r="M50" s="54" t="s">
        <v>173</v>
      </c>
      <c r="N50" s="54" t="s">
        <v>169</v>
      </c>
    </row>
    <row r="51" spans="1:14" ht="34.5" customHeight="1" x14ac:dyDescent="0.25">
      <c r="A51" s="1">
        <v>1</v>
      </c>
      <c r="B51" s="18" t="s">
        <v>129</v>
      </c>
      <c r="C51" s="1" t="s">
        <v>123</v>
      </c>
      <c r="D51" s="192" t="s">
        <v>1037</v>
      </c>
      <c r="E51" s="192"/>
      <c r="F51" s="1" t="s">
        <v>149</v>
      </c>
      <c r="G51" s="1" t="s">
        <v>1005</v>
      </c>
      <c r="H51" s="1" t="s">
        <v>15</v>
      </c>
      <c r="I51" s="15" t="s">
        <v>128</v>
      </c>
      <c r="J51" s="1" t="s">
        <v>57</v>
      </c>
      <c r="K51" s="8">
        <v>18860994.559999999</v>
      </c>
      <c r="L51" s="8">
        <f>K51*0.25</f>
        <v>4715248.6399999997</v>
      </c>
      <c r="M51" s="8">
        <f>K51+L51</f>
        <v>23576243.199999999</v>
      </c>
      <c r="N51" s="176"/>
    </row>
    <row r="52" spans="1:14" ht="15" customHeight="1" x14ac:dyDescent="0.25">
      <c r="A52" s="177" t="s">
        <v>1012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24">
        <v>55210</v>
      </c>
      <c r="N52" s="176"/>
    </row>
    <row r="53" spans="1:14" ht="7.5" customHeight="1" x14ac:dyDescent="0.25">
      <c r="L53" s="47"/>
    </row>
    <row r="54" spans="1:14" ht="15" customHeight="1" x14ac:dyDescent="0.25">
      <c r="A54" s="175" t="s">
        <v>12</v>
      </c>
      <c r="B54" s="175"/>
      <c r="C54" s="175"/>
      <c r="D54" s="175"/>
      <c r="E54" s="175"/>
      <c r="F54" s="175"/>
      <c r="G54" s="175"/>
      <c r="H54" s="175"/>
      <c r="I54" s="175"/>
      <c r="J54" s="175"/>
      <c r="K54" s="49"/>
      <c r="L54" s="49"/>
    </row>
    <row r="55" spans="1:14" ht="48" customHeight="1" x14ac:dyDescent="0.25">
      <c r="A55" s="2" t="s">
        <v>0</v>
      </c>
      <c r="B55" s="3" t="s">
        <v>7</v>
      </c>
      <c r="C55" s="3" t="s">
        <v>6</v>
      </c>
      <c r="D55" s="3" t="s">
        <v>8</v>
      </c>
      <c r="E55" s="3" t="s">
        <v>168</v>
      </c>
      <c r="F55" s="3" t="s">
        <v>174</v>
      </c>
      <c r="G55" s="3" t="s">
        <v>175</v>
      </c>
      <c r="H55" s="3" t="s">
        <v>9</v>
      </c>
      <c r="I55" s="3" t="s">
        <v>176</v>
      </c>
      <c r="J55" s="3" t="s">
        <v>10</v>
      </c>
      <c r="K55" s="48"/>
      <c r="L55" s="48"/>
      <c r="M55" s="48"/>
    </row>
    <row r="56" spans="1:14" ht="36" x14ac:dyDescent="0.25">
      <c r="A56" s="38">
        <v>1</v>
      </c>
      <c r="B56" s="60" t="s">
        <v>188</v>
      </c>
      <c r="C56" s="10" t="str">
        <f>"132-2017"</f>
        <v>132-2017</v>
      </c>
      <c r="D56" s="56">
        <v>43025</v>
      </c>
      <c r="E56" s="56">
        <v>43061</v>
      </c>
      <c r="F56" s="8">
        <v>44168</v>
      </c>
      <c r="G56" s="8">
        <v>55210</v>
      </c>
      <c r="H56" s="56">
        <v>43100</v>
      </c>
      <c r="I56" s="24">
        <v>55210</v>
      </c>
      <c r="J56" s="77"/>
    </row>
    <row r="57" spans="1:14" ht="7.5" customHeight="1" x14ac:dyDescent="0.25"/>
    <row r="58" spans="1:14" x14ac:dyDescent="0.25">
      <c r="A58" s="175" t="s">
        <v>40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</row>
    <row r="59" spans="1:14" ht="36" x14ac:dyDescent="0.25">
      <c r="A59" s="53" t="s">
        <v>0</v>
      </c>
      <c r="B59" s="54" t="s">
        <v>1</v>
      </c>
      <c r="C59" s="54" t="s">
        <v>3</v>
      </c>
      <c r="D59" s="178" t="s">
        <v>171</v>
      </c>
      <c r="E59" s="178"/>
      <c r="F59" s="54" t="s">
        <v>166</v>
      </c>
      <c r="G59" s="54" t="s">
        <v>170</v>
      </c>
      <c r="H59" s="54" t="s">
        <v>167</v>
      </c>
      <c r="I59" s="54" t="s">
        <v>4</v>
      </c>
      <c r="J59" s="54" t="s">
        <v>5</v>
      </c>
      <c r="K59" s="113" t="s">
        <v>2</v>
      </c>
      <c r="L59" s="113" t="s">
        <v>172</v>
      </c>
      <c r="M59" s="113" t="s">
        <v>173</v>
      </c>
      <c r="N59" s="113" t="s">
        <v>169</v>
      </c>
    </row>
    <row r="60" spans="1:14" ht="35.25" customHeight="1" x14ac:dyDescent="0.25">
      <c r="A60" s="1">
        <v>1</v>
      </c>
      <c r="B60" s="18" t="s">
        <v>129</v>
      </c>
      <c r="C60" s="1" t="s">
        <v>124</v>
      </c>
      <c r="D60" s="192" t="s">
        <v>1037</v>
      </c>
      <c r="E60" s="192"/>
      <c r="F60" s="1" t="s">
        <v>149</v>
      </c>
      <c r="G60" s="1" t="s">
        <v>1005</v>
      </c>
      <c r="H60" s="1" t="s">
        <v>15</v>
      </c>
      <c r="I60" s="15" t="s">
        <v>128</v>
      </c>
      <c r="J60" s="1" t="s">
        <v>57</v>
      </c>
      <c r="K60" s="122">
        <v>9378375.9000000004</v>
      </c>
      <c r="L60" s="122">
        <f>K60*0.25</f>
        <v>2344593.9750000001</v>
      </c>
      <c r="M60" s="122">
        <f>K60+L60</f>
        <v>11722969.875</v>
      </c>
      <c r="N60" s="198"/>
    </row>
    <row r="61" spans="1:14" ht="15" customHeight="1" x14ac:dyDescent="0.25">
      <c r="A61" s="177" t="s">
        <v>1012</v>
      </c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8">
        <v>997569.88</v>
      </c>
      <c r="N61" s="176"/>
    </row>
    <row r="62" spans="1:14" ht="7.5" customHeight="1" x14ac:dyDescent="0.25">
      <c r="L62" s="47"/>
    </row>
    <row r="63" spans="1:14" ht="15" customHeight="1" x14ac:dyDescent="0.25">
      <c r="A63" s="175" t="s">
        <v>12</v>
      </c>
      <c r="B63" s="175"/>
      <c r="C63" s="175"/>
      <c r="D63" s="175"/>
      <c r="E63" s="175"/>
      <c r="F63" s="175"/>
      <c r="G63" s="175"/>
      <c r="H63" s="175"/>
      <c r="I63" s="175"/>
      <c r="J63" s="175"/>
      <c r="K63" s="49"/>
      <c r="L63" s="49"/>
    </row>
    <row r="64" spans="1:14" ht="48" customHeight="1" x14ac:dyDescent="0.25">
      <c r="A64" s="2" t="s">
        <v>0</v>
      </c>
      <c r="B64" s="3" t="s">
        <v>7</v>
      </c>
      <c r="C64" s="3" t="s">
        <v>6</v>
      </c>
      <c r="D64" s="3" t="s">
        <v>8</v>
      </c>
      <c r="E64" s="3" t="s">
        <v>168</v>
      </c>
      <c r="F64" s="3" t="s">
        <v>174</v>
      </c>
      <c r="G64" s="3" t="s">
        <v>175</v>
      </c>
      <c r="H64" s="3" t="s">
        <v>9</v>
      </c>
      <c r="I64" s="3" t="s">
        <v>176</v>
      </c>
      <c r="J64" s="3" t="s">
        <v>10</v>
      </c>
      <c r="K64" s="48"/>
      <c r="L64" s="48"/>
      <c r="M64" s="48"/>
    </row>
    <row r="65" spans="1:14" ht="24" x14ac:dyDescent="0.25">
      <c r="A65" s="38">
        <v>1</v>
      </c>
      <c r="B65" s="10" t="s">
        <v>193</v>
      </c>
      <c r="C65" s="10" t="str">
        <f>"O-17/1767"</f>
        <v>O-17/1767</v>
      </c>
      <c r="D65" s="56">
        <v>43012</v>
      </c>
      <c r="E65" s="56">
        <v>43100</v>
      </c>
      <c r="F65" s="70">
        <v>81700.7</v>
      </c>
      <c r="G65" s="70">
        <v>102125.88</v>
      </c>
      <c r="H65" s="56">
        <v>43100</v>
      </c>
      <c r="I65" s="24">
        <v>102125.875</v>
      </c>
      <c r="J65" s="77"/>
    </row>
    <row r="66" spans="1:14" x14ac:dyDescent="0.25">
      <c r="A66" s="38">
        <v>2</v>
      </c>
      <c r="B66" s="10" t="s">
        <v>278</v>
      </c>
      <c r="C66" s="10" t="str">
        <f>"167/2017."</f>
        <v>167/2017.</v>
      </c>
      <c r="D66" s="56">
        <v>43005</v>
      </c>
      <c r="E66" s="56">
        <v>43049</v>
      </c>
      <c r="F66" s="70">
        <v>732506.4</v>
      </c>
      <c r="G66" s="70">
        <v>915633</v>
      </c>
      <c r="H66" s="56">
        <v>43049</v>
      </c>
      <c r="I66" s="24">
        <v>789619.60000000009</v>
      </c>
      <c r="J66" s="77"/>
    </row>
    <row r="67" spans="1:14" x14ac:dyDescent="0.25">
      <c r="A67" s="38">
        <v>3</v>
      </c>
      <c r="B67" s="10" t="s">
        <v>16</v>
      </c>
      <c r="C67" s="10" t="str">
        <f>"307/2017"</f>
        <v>307/2017</v>
      </c>
      <c r="D67" s="56">
        <v>42950</v>
      </c>
      <c r="E67" s="56">
        <v>43315</v>
      </c>
      <c r="F67" s="70">
        <v>37038.54</v>
      </c>
      <c r="G67" s="70">
        <v>46298.18</v>
      </c>
      <c r="H67" s="56">
        <v>43100</v>
      </c>
      <c r="I67" s="24">
        <v>46298.175000000003</v>
      </c>
      <c r="J67" s="77"/>
    </row>
    <row r="68" spans="1:14" x14ac:dyDescent="0.25">
      <c r="A68" s="38">
        <v>4</v>
      </c>
      <c r="B68" s="10" t="s">
        <v>16</v>
      </c>
      <c r="C68" s="10" t="str">
        <f>"266/2017"</f>
        <v>266/2017</v>
      </c>
      <c r="D68" s="56">
        <v>42950</v>
      </c>
      <c r="E68" s="56">
        <v>43315</v>
      </c>
      <c r="F68" s="70">
        <v>47620.98</v>
      </c>
      <c r="G68" s="70">
        <v>59526.23</v>
      </c>
      <c r="H68" s="56">
        <v>43100</v>
      </c>
      <c r="I68" s="24">
        <v>59526.225000000006</v>
      </c>
      <c r="J68" s="77"/>
    </row>
    <row r="69" spans="1:14" ht="7.5" customHeight="1" x14ac:dyDescent="0.25"/>
    <row r="70" spans="1:14" x14ac:dyDescent="0.25">
      <c r="A70" s="175" t="s">
        <v>40</v>
      </c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</row>
    <row r="71" spans="1:14" ht="36" x14ac:dyDescent="0.25">
      <c r="A71" s="53" t="s">
        <v>0</v>
      </c>
      <c r="B71" s="54" t="s">
        <v>1</v>
      </c>
      <c r="C71" s="54" t="s">
        <v>3</v>
      </c>
      <c r="D71" s="178" t="s">
        <v>171</v>
      </c>
      <c r="E71" s="178"/>
      <c r="F71" s="54" t="s">
        <v>166</v>
      </c>
      <c r="G71" s="54" t="s">
        <v>170</v>
      </c>
      <c r="H71" s="54" t="s">
        <v>167</v>
      </c>
      <c r="I71" s="54" t="s">
        <v>4</v>
      </c>
      <c r="J71" s="54" t="s">
        <v>5</v>
      </c>
      <c r="K71" s="54" t="s">
        <v>2</v>
      </c>
      <c r="L71" s="54" t="s">
        <v>172</v>
      </c>
      <c r="M71" s="54" t="s">
        <v>173</v>
      </c>
      <c r="N71" s="54" t="s">
        <v>169</v>
      </c>
    </row>
    <row r="72" spans="1:14" ht="35.25" customHeight="1" x14ac:dyDescent="0.25">
      <c r="A72" s="1">
        <v>1</v>
      </c>
      <c r="B72" s="18" t="s">
        <v>129</v>
      </c>
      <c r="C72" s="1" t="s">
        <v>125</v>
      </c>
      <c r="D72" s="192" t="s">
        <v>1037</v>
      </c>
      <c r="E72" s="192"/>
      <c r="F72" s="1" t="s">
        <v>149</v>
      </c>
      <c r="G72" s="1" t="s">
        <v>1005</v>
      </c>
      <c r="H72" s="1" t="s">
        <v>15</v>
      </c>
      <c r="I72" s="15" t="s">
        <v>128</v>
      </c>
      <c r="J72" s="1" t="s">
        <v>57</v>
      </c>
      <c r="K72" s="8">
        <v>10877516.08</v>
      </c>
      <c r="L72" s="8">
        <f>K72*0.25</f>
        <v>2719379.02</v>
      </c>
      <c r="M72" s="8">
        <f>K72+L72</f>
        <v>13596895.1</v>
      </c>
      <c r="N72" s="176"/>
    </row>
    <row r="73" spans="1:14" ht="15" customHeight="1" x14ac:dyDescent="0.25">
      <c r="A73" s="177" t="s">
        <v>1012</v>
      </c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8">
        <v>1679636.25</v>
      </c>
      <c r="N73" s="176"/>
    </row>
    <row r="74" spans="1:14" ht="7.5" customHeight="1" x14ac:dyDescent="0.25">
      <c r="L74" s="47"/>
    </row>
    <row r="75" spans="1:14" ht="15" customHeight="1" x14ac:dyDescent="0.25">
      <c r="A75" s="175" t="s">
        <v>12</v>
      </c>
      <c r="B75" s="175"/>
      <c r="C75" s="175"/>
      <c r="D75" s="175"/>
      <c r="E75" s="175"/>
      <c r="F75" s="175"/>
      <c r="G75" s="175"/>
      <c r="H75" s="175"/>
      <c r="I75" s="175"/>
      <c r="J75" s="175"/>
      <c r="K75" s="49"/>
      <c r="L75" s="49"/>
    </row>
    <row r="76" spans="1:14" ht="48" customHeight="1" x14ac:dyDescent="0.25">
      <c r="A76" s="2" t="s">
        <v>0</v>
      </c>
      <c r="B76" s="3" t="s">
        <v>7</v>
      </c>
      <c r="C76" s="3" t="s">
        <v>6</v>
      </c>
      <c r="D76" s="3" t="s">
        <v>8</v>
      </c>
      <c r="E76" s="3" t="s">
        <v>168</v>
      </c>
      <c r="F76" s="3" t="s">
        <v>174</v>
      </c>
      <c r="G76" s="3" t="s">
        <v>175</v>
      </c>
      <c r="H76" s="3" t="s">
        <v>9</v>
      </c>
      <c r="I76" s="3" t="s">
        <v>176</v>
      </c>
      <c r="J76" s="3" t="s">
        <v>10</v>
      </c>
      <c r="K76" s="48"/>
      <c r="L76" s="48"/>
      <c r="M76" s="48"/>
    </row>
    <row r="77" spans="1:14" ht="24" x14ac:dyDescent="0.25">
      <c r="A77" s="38">
        <v>1</v>
      </c>
      <c r="B77" s="60" t="s">
        <v>194</v>
      </c>
      <c r="C77" s="10" t="str">
        <f>"2457/17"</f>
        <v>2457/17</v>
      </c>
      <c r="D77" s="56">
        <v>43089</v>
      </c>
      <c r="E77" s="56">
        <v>43089</v>
      </c>
      <c r="F77" s="8">
        <v>219147</v>
      </c>
      <c r="G77" s="8">
        <v>273933.75</v>
      </c>
      <c r="H77" s="56">
        <v>43100</v>
      </c>
      <c r="I77" s="24">
        <v>273933.75</v>
      </c>
      <c r="J77" s="77"/>
    </row>
    <row r="78" spans="1:14" ht="36" x14ac:dyDescent="0.25">
      <c r="A78" s="115">
        <v>2</v>
      </c>
      <c r="B78" s="60" t="s">
        <v>97</v>
      </c>
      <c r="C78" s="10" t="str">
        <f>"030-01/16-01/77 6MN"</f>
        <v>030-01/16-01/77 6MN</v>
      </c>
      <c r="D78" s="56">
        <v>43070</v>
      </c>
      <c r="E78" s="56">
        <v>43115</v>
      </c>
      <c r="F78" s="8">
        <v>65000</v>
      </c>
      <c r="G78" s="8">
        <v>81250</v>
      </c>
      <c r="H78" s="162"/>
      <c r="I78" s="167">
        <v>0</v>
      </c>
      <c r="J78" s="77"/>
    </row>
    <row r="79" spans="1:14" ht="24" x14ac:dyDescent="0.25">
      <c r="A79" s="115">
        <v>3</v>
      </c>
      <c r="B79" s="60" t="s">
        <v>197</v>
      </c>
      <c r="C79" s="10" t="str">
        <f>"U084/17"</f>
        <v>U084/17</v>
      </c>
      <c r="D79" s="56">
        <v>43055</v>
      </c>
      <c r="E79" s="56">
        <v>43070</v>
      </c>
      <c r="F79" s="8">
        <v>44760</v>
      </c>
      <c r="G79" s="8">
        <v>55950</v>
      </c>
      <c r="H79" s="56">
        <v>43070</v>
      </c>
      <c r="I79" s="24">
        <v>55950</v>
      </c>
      <c r="J79" s="77"/>
    </row>
    <row r="80" spans="1:14" ht="24" x14ac:dyDescent="0.25">
      <c r="A80" s="115">
        <v>4</v>
      </c>
      <c r="B80" s="60" t="s">
        <v>194</v>
      </c>
      <c r="C80" s="10" t="str">
        <f>"2353/17"</f>
        <v>2353/17</v>
      </c>
      <c r="D80" s="56">
        <v>43042</v>
      </c>
      <c r="E80" s="56">
        <v>43087</v>
      </c>
      <c r="F80" s="8">
        <v>210553</v>
      </c>
      <c r="G80" s="8">
        <v>263191.25</v>
      </c>
      <c r="H80" s="56">
        <v>43100</v>
      </c>
      <c r="I80" s="24">
        <v>263191.25</v>
      </c>
      <c r="J80" s="77"/>
    </row>
    <row r="81" spans="1:14" ht="24" x14ac:dyDescent="0.25">
      <c r="A81" s="115">
        <v>5</v>
      </c>
      <c r="B81" s="60" t="s">
        <v>200</v>
      </c>
      <c r="C81" s="10" t="str">
        <f>"4500014127"</f>
        <v>4500014127</v>
      </c>
      <c r="D81" s="56">
        <v>43031</v>
      </c>
      <c r="E81" s="56">
        <v>43073</v>
      </c>
      <c r="F81" s="8">
        <v>59470</v>
      </c>
      <c r="G81" s="8">
        <v>74337.5</v>
      </c>
      <c r="H81" s="56">
        <v>43100</v>
      </c>
      <c r="I81" s="24">
        <v>74337.5</v>
      </c>
      <c r="J81" s="77"/>
    </row>
    <row r="82" spans="1:14" ht="36" x14ac:dyDescent="0.25">
      <c r="A82" s="115">
        <v>6</v>
      </c>
      <c r="B82" s="60" t="s">
        <v>189</v>
      </c>
      <c r="C82" s="10" t="str">
        <f>"03-A-A-0820/17-21"</f>
        <v>03-A-A-0820/17-21</v>
      </c>
      <c r="D82" s="56">
        <v>43028</v>
      </c>
      <c r="E82" s="56">
        <v>43100</v>
      </c>
      <c r="F82" s="8">
        <v>102440</v>
      </c>
      <c r="G82" s="8">
        <v>128050</v>
      </c>
      <c r="H82" s="56">
        <v>43100</v>
      </c>
      <c r="I82" s="24">
        <v>128050</v>
      </c>
      <c r="J82" s="77"/>
    </row>
    <row r="83" spans="1:14" ht="36" x14ac:dyDescent="0.25">
      <c r="A83" s="115">
        <v>7</v>
      </c>
      <c r="B83" s="60" t="s">
        <v>206</v>
      </c>
      <c r="C83" s="10" t="str">
        <f>"RAČUNALA I RAČ. OPR. -GRUPA 6"</f>
        <v>RAČUNALA I RAČ. OPR. -GRUPA 6</v>
      </c>
      <c r="D83" s="56">
        <v>43026</v>
      </c>
      <c r="E83" s="56">
        <v>43100</v>
      </c>
      <c r="F83" s="8">
        <v>19647</v>
      </c>
      <c r="G83" s="8">
        <v>24558.75</v>
      </c>
      <c r="H83" s="56">
        <v>43100</v>
      </c>
      <c r="I83" s="24">
        <v>24558.75</v>
      </c>
      <c r="J83" s="77"/>
    </row>
    <row r="84" spans="1:14" ht="36" x14ac:dyDescent="0.25">
      <c r="A84" s="115">
        <v>8</v>
      </c>
      <c r="B84" s="60" t="s">
        <v>97</v>
      </c>
      <c r="C84" s="10" t="str">
        <f>"030-01/16-01/77-6"</f>
        <v>030-01/16-01/77-6</v>
      </c>
      <c r="D84" s="56">
        <v>43024</v>
      </c>
      <c r="E84" s="56">
        <v>43070</v>
      </c>
      <c r="F84" s="8">
        <v>152290</v>
      </c>
      <c r="G84" s="8">
        <v>190362.5</v>
      </c>
      <c r="H84" s="162"/>
      <c r="I84" s="167">
        <v>0</v>
      </c>
      <c r="J84" s="77"/>
    </row>
    <row r="85" spans="1:14" ht="24" x14ac:dyDescent="0.25">
      <c r="A85" s="115">
        <v>9</v>
      </c>
      <c r="B85" s="60" t="s">
        <v>203</v>
      </c>
      <c r="C85" s="10" t="str">
        <f>"U-22-MV/2017"</f>
        <v>U-22-MV/2017</v>
      </c>
      <c r="D85" s="56">
        <v>43020</v>
      </c>
      <c r="E85" s="56">
        <v>43070</v>
      </c>
      <c r="F85" s="8">
        <v>549360</v>
      </c>
      <c r="G85" s="8">
        <v>686700</v>
      </c>
      <c r="H85" s="56">
        <v>43100</v>
      </c>
      <c r="I85" s="24">
        <v>686700</v>
      </c>
      <c r="J85" s="77"/>
    </row>
    <row r="86" spans="1:14" ht="24" x14ac:dyDescent="0.25">
      <c r="A86" s="115">
        <v>10</v>
      </c>
      <c r="B86" s="60" t="s">
        <v>18</v>
      </c>
      <c r="C86" s="10" t="str">
        <f>"SNUG-204-17-055-6"</f>
        <v>SNUG-204-17-055-6</v>
      </c>
      <c r="D86" s="56">
        <v>43020</v>
      </c>
      <c r="E86" s="56">
        <v>43100</v>
      </c>
      <c r="F86" s="8">
        <v>14920</v>
      </c>
      <c r="G86" s="8">
        <v>18650</v>
      </c>
      <c r="H86" s="56">
        <v>43100</v>
      </c>
      <c r="I86" s="24">
        <v>18650</v>
      </c>
      <c r="J86" s="77"/>
    </row>
    <row r="87" spans="1:14" ht="36" x14ac:dyDescent="0.25">
      <c r="A87" s="115">
        <v>11</v>
      </c>
      <c r="B87" s="60" t="s">
        <v>191</v>
      </c>
      <c r="C87" s="10" t="str">
        <f>"MFIN.KL:406-01/16-01/210 UR.15"</f>
        <v>MFIN.KL:406-01/16-01/210 UR.15</v>
      </c>
      <c r="D87" s="56">
        <v>43019</v>
      </c>
      <c r="E87" s="56">
        <v>43065</v>
      </c>
      <c r="F87" s="8">
        <v>89909</v>
      </c>
      <c r="G87" s="8">
        <v>112386.25</v>
      </c>
      <c r="H87" s="56">
        <v>43065</v>
      </c>
      <c r="I87" s="24">
        <v>112386.25</v>
      </c>
      <c r="J87" s="77"/>
    </row>
    <row r="88" spans="1:14" ht="24" x14ac:dyDescent="0.25">
      <c r="A88" s="115">
        <v>12</v>
      </c>
      <c r="B88" s="60" t="s">
        <v>193</v>
      </c>
      <c r="C88" s="10" t="str">
        <f>"O-17/1768"</f>
        <v>O-17/1768</v>
      </c>
      <c r="D88" s="56">
        <v>43012</v>
      </c>
      <c r="E88" s="56">
        <v>43100</v>
      </c>
      <c r="F88" s="8">
        <v>14920</v>
      </c>
      <c r="G88" s="8">
        <v>18650</v>
      </c>
      <c r="H88" s="56">
        <v>43100</v>
      </c>
      <c r="I88" s="24">
        <v>18650</v>
      </c>
      <c r="J88" s="77"/>
    </row>
    <row r="89" spans="1:14" ht="24" x14ac:dyDescent="0.25">
      <c r="A89" s="115">
        <v>13</v>
      </c>
      <c r="B89" s="60" t="s">
        <v>279</v>
      </c>
      <c r="C89" s="10" t="str">
        <f>"1-2017-6"</f>
        <v>1-2017-6</v>
      </c>
      <c r="D89" s="56">
        <v>42950</v>
      </c>
      <c r="E89" s="56">
        <v>43680</v>
      </c>
      <c r="F89" s="8">
        <v>0</v>
      </c>
      <c r="G89" s="8">
        <v>0</v>
      </c>
      <c r="H89" s="56">
        <v>43100</v>
      </c>
      <c r="I89" s="24">
        <v>23228.75</v>
      </c>
      <c r="J89" s="77"/>
    </row>
    <row r="90" spans="1:14" ht="7.5" customHeight="1" x14ac:dyDescent="0.25"/>
    <row r="91" spans="1:14" x14ac:dyDescent="0.25">
      <c r="A91" s="175" t="s">
        <v>40</v>
      </c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</row>
    <row r="92" spans="1:14" ht="36" x14ac:dyDescent="0.25">
      <c r="A92" s="53" t="s">
        <v>0</v>
      </c>
      <c r="B92" s="54" t="s">
        <v>1</v>
      </c>
      <c r="C92" s="54" t="s">
        <v>3</v>
      </c>
      <c r="D92" s="178" t="s">
        <v>171</v>
      </c>
      <c r="E92" s="178"/>
      <c r="F92" s="54" t="s">
        <v>166</v>
      </c>
      <c r="G92" s="54" t="s">
        <v>170</v>
      </c>
      <c r="H92" s="54" t="s">
        <v>167</v>
      </c>
      <c r="I92" s="54" t="s">
        <v>4</v>
      </c>
      <c r="J92" s="54" t="s">
        <v>5</v>
      </c>
      <c r="K92" s="54" t="s">
        <v>2</v>
      </c>
      <c r="L92" s="54" t="s">
        <v>172</v>
      </c>
      <c r="M92" s="54" t="s">
        <v>173</v>
      </c>
      <c r="N92" s="54" t="s">
        <v>169</v>
      </c>
    </row>
    <row r="93" spans="1:14" ht="35.25" customHeight="1" x14ac:dyDescent="0.25">
      <c r="A93" s="1">
        <v>1</v>
      </c>
      <c r="B93" s="18" t="s">
        <v>129</v>
      </c>
      <c r="C93" s="1" t="s">
        <v>126</v>
      </c>
      <c r="D93" s="192" t="s">
        <v>1037</v>
      </c>
      <c r="E93" s="192"/>
      <c r="F93" s="1" t="s">
        <v>149</v>
      </c>
      <c r="G93" s="1" t="s">
        <v>1005</v>
      </c>
      <c r="H93" s="1" t="s">
        <v>15</v>
      </c>
      <c r="I93" s="15" t="s">
        <v>128</v>
      </c>
      <c r="J93" s="1" t="s">
        <v>57</v>
      </c>
      <c r="K93" s="8">
        <v>4732698.42</v>
      </c>
      <c r="L93" s="8">
        <f>K93*0.25</f>
        <v>1183174.605</v>
      </c>
      <c r="M93" s="8">
        <f>K93+L93</f>
        <v>5915873.0250000004</v>
      </c>
      <c r="N93" s="176"/>
    </row>
    <row r="94" spans="1:14" ht="15" customHeight="1" x14ac:dyDescent="0.25">
      <c r="A94" s="177" t="s">
        <v>1012</v>
      </c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8">
        <v>865961.25</v>
      </c>
      <c r="N94" s="176"/>
    </row>
    <row r="95" spans="1:14" ht="7.5" customHeight="1" x14ac:dyDescent="0.25">
      <c r="L95" s="47"/>
    </row>
    <row r="96" spans="1:14" ht="15" customHeight="1" x14ac:dyDescent="0.25">
      <c r="A96" s="175" t="s">
        <v>12</v>
      </c>
      <c r="B96" s="175"/>
      <c r="C96" s="175"/>
      <c r="D96" s="175"/>
      <c r="E96" s="175"/>
      <c r="F96" s="175"/>
      <c r="G96" s="175"/>
      <c r="H96" s="175"/>
      <c r="I96" s="175"/>
      <c r="J96" s="175"/>
      <c r="K96" s="49"/>
      <c r="L96" s="49"/>
    </row>
    <row r="97" spans="1:14" ht="48" customHeight="1" x14ac:dyDescent="0.25">
      <c r="A97" s="2" t="s">
        <v>0</v>
      </c>
      <c r="B97" s="3" t="s">
        <v>7</v>
      </c>
      <c r="C97" s="3" t="s">
        <v>6</v>
      </c>
      <c r="D97" s="3" t="s">
        <v>8</v>
      </c>
      <c r="E97" s="3" t="s">
        <v>168</v>
      </c>
      <c r="F97" s="3" t="s">
        <v>174</v>
      </c>
      <c r="G97" s="3" t="s">
        <v>175</v>
      </c>
      <c r="H97" s="3" t="s">
        <v>9</v>
      </c>
      <c r="I97" s="3" t="s">
        <v>176</v>
      </c>
      <c r="J97" s="3" t="s">
        <v>10</v>
      </c>
      <c r="K97" s="48"/>
      <c r="L97" s="48"/>
      <c r="M97" s="48"/>
    </row>
    <row r="98" spans="1:14" ht="24" x14ac:dyDescent="0.25">
      <c r="A98" s="38">
        <v>1</v>
      </c>
      <c r="B98" s="60" t="s">
        <v>197</v>
      </c>
      <c r="C98" s="10" t="str">
        <f>"U085/17"</f>
        <v>U085/17</v>
      </c>
      <c r="D98" s="56">
        <v>43055</v>
      </c>
      <c r="E98" s="56">
        <v>43070</v>
      </c>
      <c r="F98" s="8">
        <v>151803</v>
      </c>
      <c r="G98" s="8">
        <v>189753.75</v>
      </c>
      <c r="H98" s="56">
        <v>43070</v>
      </c>
      <c r="I98" s="24">
        <v>189753.75</v>
      </c>
      <c r="J98" s="77"/>
    </row>
    <row r="99" spans="1:14" ht="24" x14ac:dyDescent="0.25">
      <c r="A99" s="115">
        <v>2</v>
      </c>
      <c r="B99" s="60" t="s">
        <v>193</v>
      </c>
      <c r="C99" s="10" t="str">
        <f>"O-17/1849"</f>
        <v>O-17/1849</v>
      </c>
      <c r="D99" s="56">
        <v>43020</v>
      </c>
      <c r="E99" s="56">
        <v>43100</v>
      </c>
      <c r="F99" s="8">
        <v>135600</v>
      </c>
      <c r="G99" s="8">
        <v>169500</v>
      </c>
      <c r="H99" s="56">
        <v>43100</v>
      </c>
      <c r="I99" s="24">
        <v>169500</v>
      </c>
      <c r="J99" s="77"/>
    </row>
    <row r="100" spans="1:14" ht="24" x14ac:dyDescent="0.25">
      <c r="A100" s="115">
        <v>3</v>
      </c>
      <c r="B100" s="60" t="s">
        <v>193</v>
      </c>
      <c r="C100" s="10" t="str">
        <f>"O-17/1792"</f>
        <v>O-17/1792</v>
      </c>
      <c r="D100" s="56">
        <v>43014</v>
      </c>
      <c r="E100" s="56">
        <v>43100</v>
      </c>
      <c r="F100" s="8">
        <v>24980</v>
      </c>
      <c r="G100" s="8">
        <v>31225</v>
      </c>
      <c r="H100" s="56">
        <v>43100</v>
      </c>
      <c r="I100" s="24">
        <v>31225</v>
      </c>
      <c r="J100" s="77"/>
    </row>
    <row r="101" spans="1:14" ht="24" x14ac:dyDescent="0.25">
      <c r="A101" s="115">
        <v>4</v>
      </c>
      <c r="B101" s="60" t="s">
        <v>193</v>
      </c>
      <c r="C101" s="10" t="str">
        <f>"O-17/1769"</f>
        <v>O-17/1769</v>
      </c>
      <c r="D101" s="56">
        <v>43012</v>
      </c>
      <c r="E101" s="56">
        <v>43100</v>
      </c>
      <c r="F101" s="8">
        <v>182936</v>
      </c>
      <c r="G101" s="8">
        <v>228670</v>
      </c>
      <c r="H101" s="56">
        <v>43100</v>
      </c>
      <c r="I101" s="24">
        <v>228670</v>
      </c>
      <c r="J101" s="77"/>
    </row>
    <row r="102" spans="1:14" x14ac:dyDescent="0.25">
      <c r="A102" s="115">
        <v>5</v>
      </c>
      <c r="B102" s="60" t="s">
        <v>278</v>
      </c>
      <c r="C102" s="10" t="str">
        <f>"168/2017"</f>
        <v>168/2017</v>
      </c>
      <c r="D102" s="56">
        <v>43005</v>
      </c>
      <c r="E102" s="56">
        <v>43049</v>
      </c>
      <c r="F102" s="8">
        <v>67800</v>
      </c>
      <c r="G102" s="8">
        <v>84750</v>
      </c>
      <c r="H102" s="56">
        <v>43049</v>
      </c>
      <c r="I102" s="24">
        <v>84750</v>
      </c>
      <c r="J102" s="77"/>
    </row>
    <row r="103" spans="1:14" ht="24" x14ac:dyDescent="0.25">
      <c r="A103" s="115">
        <v>6</v>
      </c>
      <c r="B103" s="60" t="s">
        <v>196</v>
      </c>
      <c r="C103" s="10" t="str">
        <f>"MGPU 1/2017-7"</f>
        <v>MGPU 1/2017-7</v>
      </c>
      <c r="D103" s="56">
        <v>43004</v>
      </c>
      <c r="E103" s="56">
        <v>43049</v>
      </c>
      <c r="F103" s="8">
        <v>98304</v>
      </c>
      <c r="G103" s="8">
        <v>122880</v>
      </c>
      <c r="H103" s="56">
        <v>43049</v>
      </c>
      <c r="I103" s="24">
        <v>122880</v>
      </c>
      <c r="J103" s="77"/>
    </row>
    <row r="104" spans="1:14" x14ac:dyDescent="0.25">
      <c r="A104" s="115">
        <v>7</v>
      </c>
      <c r="B104" s="60" t="s">
        <v>16</v>
      </c>
      <c r="C104" s="10" t="str">
        <f>"308/2017"</f>
        <v>308/2017</v>
      </c>
      <c r="D104" s="56">
        <v>42950</v>
      </c>
      <c r="E104" s="56">
        <v>43315</v>
      </c>
      <c r="F104" s="8">
        <v>31346</v>
      </c>
      <c r="G104" s="8">
        <v>39182.5</v>
      </c>
      <c r="H104" s="56">
        <v>43100</v>
      </c>
      <c r="I104" s="24">
        <v>39182.5</v>
      </c>
      <c r="J104" s="77"/>
    </row>
    <row r="105" spans="1:14" ht="7.5" customHeight="1" x14ac:dyDescent="0.25"/>
    <row r="106" spans="1:14" x14ac:dyDescent="0.25">
      <c r="A106" s="175" t="s">
        <v>40</v>
      </c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</row>
    <row r="107" spans="1:14" ht="36" x14ac:dyDescent="0.25">
      <c r="A107" s="53" t="s">
        <v>0</v>
      </c>
      <c r="B107" s="54" t="s">
        <v>1</v>
      </c>
      <c r="C107" s="54" t="s">
        <v>3</v>
      </c>
      <c r="D107" s="178" t="s">
        <v>171</v>
      </c>
      <c r="E107" s="178"/>
      <c r="F107" s="54" t="s">
        <v>166</v>
      </c>
      <c r="G107" s="54" t="s">
        <v>170</v>
      </c>
      <c r="H107" s="54" t="s">
        <v>167</v>
      </c>
      <c r="I107" s="54" t="s">
        <v>4</v>
      </c>
      <c r="J107" s="54" t="s">
        <v>5</v>
      </c>
      <c r="K107" s="54" t="s">
        <v>2</v>
      </c>
      <c r="L107" s="54" t="s">
        <v>172</v>
      </c>
      <c r="M107" s="54" t="s">
        <v>173</v>
      </c>
      <c r="N107" s="54" t="s">
        <v>169</v>
      </c>
    </row>
    <row r="108" spans="1:14" ht="35.25" customHeight="1" x14ac:dyDescent="0.25">
      <c r="A108" s="1">
        <v>1</v>
      </c>
      <c r="B108" s="18" t="s">
        <v>129</v>
      </c>
      <c r="C108" s="1" t="s">
        <v>127</v>
      </c>
      <c r="D108" s="192" t="s">
        <v>1038</v>
      </c>
      <c r="E108" s="192"/>
      <c r="F108" s="1" t="s">
        <v>149</v>
      </c>
      <c r="G108" s="1" t="s">
        <v>1005</v>
      </c>
      <c r="H108" s="1" t="s">
        <v>15</v>
      </c>
      <c r="I108" s="15" t="s">
        <v>128</v>
      </c>
      <c r="J108" s="1" t="s">
        <v>57</v>
      </c>
      <c r="K108" s="8">
        <v>9715536</v>
      </c>
      <c r="L108" s="8">
        <f>K108*0.25</f>
        <v>2428884</v>
      </c>
      <c r="M108" s="8">
        <f>K108+L108</f>
        <v>12144420</v>
      </c>
      <c r="N108" s="176"/>
    </row>
    <row r="109" spans="1:14" ht="15" customHeight="1" x14ac:dyDescent="0.25">
      <c r="A109" s="177" t="s">
        <v>1012</v>
      </c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24">
        <v>7499740</v>
      </c>
      <c r="N109" s="176"/>
    </row>
    <row r="110" spans="1:14" ht="7.5" customHeight="1" x14ac:dyDescent="0.25">
      <c r="L110" s="47"/>
    </row>
    <row r="111" spans="1:14" ht="15" customHeight="1" x14ac:dyDescent="0.25">
      <c r="A111" s="175" t="s">
        <v>12</v>
      </c>
      <c r="B111" s="175"/>
      <c r="C111" s="175"/>
      <c r="D111" s="175"/>
      <c r="E111" s="175"/>
      <c r="F111" s="175"/>
      <c r="G111" s="175"/>
      <c r="H111" s="175"/>
      <c r="I111" s="175"/>
      <c r="J111" s="175"/>
      <c r="K111" s="49"/>
      <c r="L111" s="49"/>
    </row>
    <row r="112" spans="1:14" ht="48" customHeight="1" x14ac:dyDescent="0.25">
      <c r="A112" s="2" t="s">
        <v>0</v>
      </c>
      <c r="B112" s="3" t="s">
        <v>7</v>
      </c>
      <c r="C112" s="3" t="s">
        <v>6</v>
      </c>
      <c r="D112" s="3" t="s">
        <v>8</v>
      </c>
      <c r="E112" s="3" t="s">
        <v>168</v>
      </c>
      <c r="F112" s="3" t="s">
        <v>174</v>
      </c>
      <c r="G112" s="3" t="s">
        <v>175</v>
      </c>
      <c r="H112" s="3" t="s">
        <v>9</v>
      </c>
      <c r="I112" s="3" t="s">
        <v>176</v>
      </c>
      <c r="J112" s="3" t="s">
        <v>10</v>
      </c>
      <c r="K112" s="48"/>
      <c r="L112" s="48"/>
      <c r="M112" s="48"/>
    </row>
    <row r="113" spans="1:12" ht="24" x14ac:dyDescent="0.25">
      <c r="A113" s="38">
        <v>1</v>
      </c>
      <c r="B113" s="60" t="s">
        <v>18</v>
      </c>
      <c r="C113" s="10" t="str">
        <f>"SNUG-204-17-055-8"</f>
        <v>SNUG-204-17-055-8</v>
      </c>
      <c r="D113" s="56">
        <v>43020</v>
      </c>
      <c r="E113" s="56">
        <v>43100</v>
      </c>
      <c r="F113" s="8">
        <v>5999792</v>
      </c>
      <c r="G113" s="8">
        <v>7499740</v>
      </c>
      <c r="H113" s="56">
        <v>43100</v>
      </c>
      <c r="I113" s="24">
        <v>7499740</v>
      </c>
      <c r="J113" s="77"/>
      <c r="L113" s="111"/>
    </row>
    <row r="114" spans="1:12" x14ac:dyDescent="0.25">
      <c r="K114" s="48"/>
    </row>
    <row r="115" spans="1:12" x14ac:dyDescent="0.25">
      <c r="B115" s="174" t="s">
        <v>2028</v>
      </c>
      <c r="C115" s="174"/>
      <c r="D115" s="174"/>
      <c r="E115" s="174"/>
      <c r="F115" s="174"/>
      <c r="G115" s="174"/>
      <c r="H115" s="174"/>
      <c r="I115" s="174"/>
      <c r="J115" s="174"/>
    </row>
  </sheetData>
  <sheetProtection algorithmName="SHA-512" hashValue="ST8PRD0nozf1OnO4zaEUpzBqE5K2GZ10lL2DJcsYa2hn9HdfhbJCl2QQGibk3XTH678+ciPyStUpJ7u3fhCaog==" saltValue="9+ghWHcLLGU157YgsRIRmw==" spinCount="100000" sheet="1" objects="1" scenarios="1"/>
  <mergeCells count="49">
    <mergeCell ref="A26:J26"/>
    <mergeCell ref="A34:N34"/>
    <mergeCell ref="D35:E35"/>
    <mergeCell ref="A6:J6"/>
    <mergeCell ref="A21:N21"/>
    <mergeCell ref="D22:E22"/>
    <mergeCell ref="D23:E23"/>
    <mergeCell ref="N23:N24"/>
    <mergeCell ref="A24:L24"/>
    <mergeCell ref="A1:N1"/>
    <mergeCell ref="D2:E2"/>
    <mergeCell ref="D3:E3"/>
    <mergeCell ref="N3:N4"/>
    <mergeCell ref="A4:L4"/>
    <mergeCell ref="D36:E36"/>
    <mergeCell ref="N36:N37"/>
    <mergeCell ref="A37:L37"/>
    <mergeCell ref="A39:J39"/>
    <mergeCell ref="A49:N49"/>
    <mergeCell ref="D50:E50"/>
    <mergeCell ref="D51:E51"/>
    <mergeCell ref="N51:N52"/>
    <mergeCell ref="A52:L52"/>
    <mergeCell ref="A54:J54"/>
    <mergeCell ref="A58:N58"/>
    <mergeCell ref="D59:E59"/>
    <mergeCell ref="D60:E60"/>
    <mergeCell ref="N60:N61"/>
    <mergeCell ref="A61:L61"/>
    <mergeCell ref="A63:J63"/>
    <mergeCell ref="A70:N70"/>
    <mergeCell ref="D71:E71"/>
    <mergeCell ref="D72:E72"/>
    <mergeCell ref="N72:N73"/>
    <mergeCell ref="A73:L73"/>
    <mergeCell ref="A75:J75"/>
    <mergeCell ref="A91:N91"/>
    <mergeCell ref="D92:E92"/>
    <mergeCell ref="D93:E93"/>
    <mergeCell ref="N93:N94"/>
    <mergeCell ref="A94:L94"/>
    <mergeCell ref="B115:J115"/>
    <mergeCell ref="A111:J111"/>
    <mergeCell ref="A96:J96"/>
    <mergeCell ref="A106:N106"/>
    <mergeCell ref="D107:E107"/>
    <mergeCell ref="D108:E108"/>
    <mergeCell ref="N108:N109"/>
    <mergeCell ref="A109:L109"/>
  </mergeCells>
  <pageMargins left="0.23622047244094491" right="0.23622047244094491" top="0.98425196850393704" bottom="0.59055118110236227" header="0.31496062992125984" footer="0.31496062992125984"/>
  <pageSetup scale="69" fitToHeight="0" orientation="landscape" r:id="rId1"/>
  <headerFooter>
    <oddHeader>&amp;L&amp;G&amp;CRegistar okvirnih sporazuma i ugovora za 2016. godinu 
za predmete nabave iz nadležnosti Središnjeg državnog ureda za središnju javnu nabavu</oddHeader>
    <oddFooter>&amp;L&amp;D&amp;C &amp;A&amp;R&amp;P/&amp;N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N157"/>
  <sheetViews>
    <sheetView view="pageLayout" zoomScaleNormal="100" workbookViewId="0">
      <selection sqref="A1:N1"/>
    </sheetView>
  </sheetViews>
  <sheetFormatPr defaultRowHeight="15" x14ac:dyDescent="0.25"/>
  <cols>
    <col min="1" max="1" width="4.85546875" customWidth="1"/>
    <col min="2" max="2" width="26.140625" customWidth="1"/>
    <col min="3" max="3" width="12" customWidth="1"/>
    <col min="4" max="4" width="13.42578125" customWidth="1"/>
    <col min="5" max="5" width="14" customWidth="1"/>
    <col min="6" max="6" width="15.28515625" customWidth="1"/>
    <col min="7" max="10" width="13.5703125" customWidth="1"/>
    <col min="11" max="13" width="14.28515625" customWidth="1"/>
    <col min="14" max="14" width="11.42578125" customWidth="1"/>
  </cols>
  <sheetData>
    <row r="1" spans="1:14" x14ac:dyDescent="0.25">
      <c r="A1" s="175" t="s">
        <v>24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36" x14ac:dyDescent="0.25">
      <c r="A2" s="53" t="s">
        <v>0</v>
      </c>
      <c r="B2" s="54" t="s">
        <v>1</v>
      </c>
      <c r="C2" s="54" t="s">
        <v>3</v>
      </c>
      <c r="D2" s="178" t="s">
        <v>171</v>
      </c>
      <c r="E2" s="178"/>
      <c r="F2" s="54" t="s">
        <v>166</v>
      </c>
      <c r="G2" s="54" t="s">
        <v>170</v>
      </c>
      <c r="H2" s="54" t="s">
        <v>167</v>
      </c>
      <c r="I2" s="54" t="s">
        <v>4</v>
      </c>
      <c r="J2" s="54" t="s">
        <v>5</v>
      </c>
      <c r="K2" s="54" t="s">
        <v>2</v>
      </c>
      <c r="L2" s="54" t="s">
        <v>172</v>
      </c>
      <c r="M2" s="54" t="s">
        <v>173</v>
      </c>
      <c r="N2" s="54" t="s">
        <v>169</v>
      </c>
    </row>
    <row r="3" spans="1:14" ht="77.25" customHeight="1" x14ac:dyDescent="0.25">
      <c r="A3" s="1">
        <v>1</v>
      </c>
      <c r="B3" s="13" t="s">
        <v>26</v>
      </c>
      <c r="C3" s="14" t="s">
        <v>25</v>
      </c>
      <c r="D3" s="192" t="s">
        <v>1050</v>
      </c>
      <c r="E3" s="192"/>
      <c r="F3" s="1" t="s">
        <v>65</v>
      </c>
      <c r="G3" s="1" t="s">
        <v>1006</v>
      </c>
      <c r="H3" s="1" t="s">
        <v>64</v>
      </c>
      <c r="I3" s="15">
        <v>42167</v>
      </c>
      <c r="J3" s="1" t="s">
        <v>30</v>
      </c>
      <c r="K3" s="8">
        <v>26164852</v>
      </c>
      <c r="L3" s="8">
        <f>K3*0.25</f>
        <v>6541213</v>
      </c>
      <c r="M3" s="8">
        <f>K3+L3</f>
        <v>32706065</v>
      </c>
      <c r="N3" s="176"/>
    </row>
    <row r="4" spans="1:14" ht="15" customHeight="1" x14ac:dyDescent="0.25">
      <c r="A4" s="177" t="s">
        <v>1012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8">
        <v>6991714.8300000001</v>
      </c>
      <c r="N4" s="176"/>
    </row>
    <row r="5" spans="1:14" ht="7.5" customHeight="1" x14ac:dyDescent="0.25">
      <c r="L5" s="47"/>
    </row>
    <row r="6" spans="1:14" ht="15" customHeight="1" x14ac:dyDescent="0.25">
      <c r="A6" s="175" t="s">
        <v>12</v>
      </c>
      <c r="B6" s="175"/>
      <c r="C6" s="175"/>
      <c r="D6" s="175"/>
      <c r="E6" s="175"/>
      <c r="F6" s="175"/>
      <c r="G6" s="175"/>
      <c r="H6" s="175"/>
      <c r="I6" s="175"/>
      <c r="J6" s="175"/>
      <c r="K6" s="49"/>
      <c r="L6" s="49"/>
    </row>
    <row r="7" spans="1:14" ht="48" customHeight="1" x14ac:dyDescent="0.25">
      <c r="A7" s="2" t="s">
        <v>0</v>
      </c>
      <c r="B7" s="3" t="s">
        <v>7</v>
      </c>
      <c r="C7" s="3" t="s">
        <v>6</v>
      </c>
      <c r="D7" s="3" t="s">
        <v>8</v>
      </c>
      <c r="E7" s="3" t="s">
        <v>168</v>
      </c>
      <c r="F7" s="3" t="s">
        <v>174</v>
      </c>
      <c r="G7" s="3" t="s">
        <v>175</v>
      </c>
      <c r="H7" s="3" t="s">
        <v>9</v>
      </c>
      <c r="I7" s="3" t="s">
        <v>176</v>
      </c>
      <c r="J7" s="3" t="s">
        <v>10</v>
      </c>
      <c r="L7" s="48"/>
      <c r="M7" s="48"/>
    </row>
    <row r="8" spans="1:14" ht="24" x14ac:dyDescent="0.25">
      <c r="A8" s="1">
        <v>1</v>
      </c>
      <c r="B8" s="87" t="s">
        <v>18</v>
      </c>
      <c r="C8" s="85" t="str">
        <f>"SNUG-204-17-035"</f>
        <v>SNUG-204-17-035</v>
      </c>
      <c r="D8" s="86">
        <v>42894</v>
      </c>
      <c r="E8" s="86">
        <v>43100</v>
      </c>
      <c r="F8" s="84">
        <v>104652.52</v>
      </c>
      <c r="G8" s="84">
        <v>130815.65</v>
      </c>
      <c r="H8" s="86">
        <v>43100</v>
      </c>
      <c r="I8" s="37">
        <v>130815.65000000001</v>
      </c>
      <c r="J8" s="71"/>
      <c r="L8" s="111"/>
      <c r="M8" s="111"/>
    </row>
    <row r="9" spans="1:14" ht="24" x14ac:dyDescent="0.25">
      <c r="A9" s="1">
        <v>2</v>
      </c>
      <c r="B9" s="87" t="s">
        <v>194</v>
      </c>
      <c r="C9" s="85" t="str">
        <f>"61/16"</f>
        <v>61/16</v>
      </c>
      <c r="D9" s="86">
        <v>42703</v>
      </c>
      <c r="E9" s="86">
        <v>43067</v>
      </c>
      <c r="F9" s="84">
        <v>57435.8</v>
      </c>
      <c r="G9" s="84">
        <v>71794.75</v>
      </c>
      <c r="H9" s="86">
        <v>43100</v>
      </c>
      <c r="I9" s="37">
        <v>71794.75</v>
      </c>
      <c r="J9" s="71"/>
      <c r="L9" s="111"/>
      <c r="M9" s="111"/>
    </row>
    <row r="10" spans="1:14" ht="24" x14ac:dyDescent="0.25">
      <c r="A10" s="1">
        <v>3</v>
      </c>
      <c r="B10" s="87" t="s">
        <v>195</v>
      </c>
      <c r="C10" s="85" t="str">
        <f>"64087/16"</f>
        <v>64087/16</v>
      </c>
      <c r="D10" s="86">
        <v>42660</v>
      </c>
      <c r="E10" s="86">
        <v>42745</v>
      </c>
      <c r="F10" s="84">
        <v>5037088.5999999996</v>
      </c>
      <c r="G10" s="84">
        <v>6296360.75</v>
      </c>
      <c r="H10" s="86">
        <v>42735</v>
      </c>
      <c r="I10" s="37">
        <v>6296360.75</v>
      </c>
      <c r="J10" s="71"/>
      <c r="L10" s="111"/>
      <c r="M10" s="111"/>
    </row>
    <row r="11" spans="1:14" ht="24" x14ac:dyDescent="0.25">
      <c r="A11" s="1">
        <v>4</v>
      </c>
      <c r="B11" s="87" t="s">
        <v>210</v>
      </c>
      <c r="C11" s="85" t="str">
        <f>"PU - ORACLE LICENCE"</f>
        <v>PU - ORACLE LICENCE</v>
      </c>
      <c r="D11" s="86">
        <v>42642</v>
      </c>
      <c r="E11" s="86">
        <v>43007</v>
      </c>
      <c r="F11" s="84">
        <v>324194.94</v>
      </c>
      <c r="G11" s="84">
        <v>405243.68</v>
      </c>
      <c r="H11" s="86">
        <v>43007</v>
      </c>
      <c r="I11" s="37">
        <v>492743.67499999999</v>
      </c>
      <c r="J11" s="71"/>
      <c r="L11" s="111"/>
      <c r="M11" s="111"/>
    </row>
    <row r="12" spans="1:14" ht="7.5" customHeight="1" x14ac:dyDescent="0.25"/>
    <row r="13" spans="1:14" x14ac:dyDescent="0.25">
      <c r="A13" s="175" t="s">
        <v>24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36" x14ac:dyDescent="0.25">
      <c r="A14" s="53" t="s">
        <v>0</v>
      </c>
      <c r="B14" s="54" t="s">
        <v>1</v>
      </c>
      <c r="C14" s="54" t="s">
        <v>3</v>
      </c>
      <c r="D14" s="178" t="s">
        <v>171</v>
      </c>
      <c r="E14" s="178"/>
      <c r="F14" s="54" t="s">
        <v>166</v>
      </c>
      <c r="G14" s="54" t="s">
        <v>170</v>
      </c>
      <c r="H14" s="54" t="s">
        <v>167</v>
      </c>
      <c r="I14" s="54" t="s">
        <v>4</v>
      </c>
      <c r="J14" s="54" t="s">
        <v>5</v>
      </c>
      <c r="K14" s="54" t="s">
        <v>2</v>
      </c>
      <c r="L14" s="54" t="s">
        <v>172</v>
      </c>
      <c r="M14" s="54" t="s">
        <v>173</v>
      </c>
      <c r="N14" s="54" t="s">
        <v>169</v>
      </c>
    </row>
    <row r="15" spans="1:14" ht="50.25" customHeight="1" x14ac:dyDescent="0.25">
      <c r="A15" s="1">
        <v>1</v>
      </c>
      <c r="B15" s="22" t="s">
        <v>28</v>
      </c>
      <c r="C15" s="23" t="s">
        <v>27</v>
      </c>
      <c r="D15" s="192" t="s">
        <v>1051</v>
      </c>
      <c r="E15" s="192"/>
      <c r="F15" s="16" t="s">
        <v>71</v>
      </c>
      <c r="G15" s="1" t="s">
        <v>1006</v>
      </c>
      <c r="H15" s="16" t="s">
        <v>15</v>
      </c>
      <c r="I15" s="16" t="s">
        <v>29</v>
      </c>
      <c r="J15" s="16" t="s">
        <v>30</v>
      </c>
      <c r="K15" s="17">
        <v>6412519</v>
      </c>
      <c r="L15" s="95">
        <f>K15*0.25</f>
        <v>1603129.75</v>
      </c>
      <c r="M15" s="95">
        <f>K15+L15</f>
        <v>8015648.75</v>
      </c>
      <c r="N15" s="176"/>
    </row>
    <row r="16" spans="1:14" ht="15" customHeight="1" x14ac:dyDescent="0.25">
      <c r="A16" s="177" t="s">
        <v>1012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97">
        <v>655484.41</v>
      </c>
      <c r="N16" s="176"/>
    </row>
    <row r="17" spans="1:13" ht="7.5" customHeight="1" x14ac:dyDescent="0.25">
      <c r="L17" s="47"/>
    </row>
    <row r="18" spans="1:13" ht="15" customHeight="1" x14ac:dyDescent="0.25">
      <c r="A18" s="175" t="s">
        <v>12</v>
      </c>
      <c r="B18" s="175"/>
      <c r="C18" s="175"/>
      <c r="D18" s="175"/>
      <c r="E18" s="175"/>
      <c r="F18" s="175"/>
      <c r="G18" s="175"/>
      <c r="H18" s="175"/>
      <c r="I18" s="175"/>
      <c r="J18" s="175"/>
      <c r="K18" s="49"/>
      <c r="L18" s="49"/>
    </row>
    <row r="19" spans="1:13" ht="48" customHeight="1" x14ac:dyDescent="0.25">
      <c r="A19" s="2" t="s">
        <v>0</v>
      </c>
      <c r="B19" s="3" t="s">
        <v>7</v>
      </c>
      <c r="C19" s="3" t="s">
        <v>6</v>
      </c>
      <c r="D19" s="3" t="s">
        <v>8</v>
      </c>
      <c r="E19" s="3" t="s">
        <v>168</v>
      </c>
      <c r="F19" s="3" t="s">
        <v>174</v>
      </c>
      <c r="G19" s="3" t="s">
        <v>175</v>
      </c>
      <c r="H19" s="3" t="s">
        <v>9</v>
      </c>
      <c r="I19" s="3" t="s">
        <v>176</v>
      </c>
      <c r="J19" s="3" t="s">
        <v>10</v>
      </c>
      <c r="L19" s="48"/>
      <c r="M19" s="48"/>
    </row>
    <row r="20" spans="1:13" ht="24" x14ac:dyDescent="0.25">
      <c r="A20" s="1">
        <v>1</v>
      </c>
      <c r="B20" s="60" t="s">
        <v>932</v>
      </c>
      <c r="C20" s="10" t="str">
        <f>"NAR 33/2017-ULJPPNM"</f>
        <v>NAR 33/2017-ULJPPNM</v>
      </c>
      <c r="D20" s="56">
        <v>42736</v>
      </c>
      <c r="E20" s="56">
        <v>43100</v>
      </c>
      <c r="F20" s="8">
        <v>307.72000000000003</v>
      </c>
      <c r="G20" s="8">
        <v>384.65</v>
      </c>
      <c r="H20" s="56">
        <v>43100</v>
      </c>
      <c r="I20" s="24">
        <v>384.65000000000003</v>
      </c>
      <c r="J20" s="70"/>
      <c r="L20" s="111"/>
      <c r="M20" s="111"/>
    </row>
    <row r="21" spans="1:13" ht="24" x14ac:dyDescent="0.25">
      <c r="A21" s="1">
        <v>2</v>
      </c>
      <c r="B21" s="60" t="s">
        <v>933</v>
      </c>
      <c r="C21" s="10" t="str">
        <f>"NAR 4/2017"</f>
        <v>NAR 4/2017</v>
      </c>
      <c r="D21" s="56">
        <v>42736</v>
      </c>
      <c r="E21" s="56">
        <v>43100</v>
      </c>
      <c r="F21" s="8">
        <v>21.98</v>
      </c>
      <c r="G21" s="8">
        <v>27.48</v>
      </c>
      <c r="H21" s="56">
        <v>43100</v>
      </c>
      <c r="I21" s="24">
        <v>27.475000000000001</v>
      </c>
      <c r="J21" s="70"/>
      <c r="L21" s="111"/>
      <c r="M21" s="111"/>
    </row>
    <row r="22" spans="1:13" ht="24" x14ac:dyDescent="0.25">
      <c r="A22" s="1">
        <v>3</v>
      </c>
      <c r="B22" s="60" t="s">
        <v>934</v>
      </c>
      <c r="C22" s="10" t="str">
        <f>"NAR 4/2017-REVIZIJA"</f>
        <v>NAR 4/2017-REVIZIJA</v>
      </c>
      <c r="D22" s="56">
        <v>42736</v>
      </c>
      <c r="E22" s="56">
        <v>43100</v>
      </c>
      <c r="F22" s="8">
        <v>120.89</v>
      </c>
      <c r="G22" s="8">
        <v>151.11000000000001</v>
      </c>
      <c r="H22" s="56">
        <v>43100</v>
      </c>
      <c r="I22" s="24">
        <v>151.11250000000001</v>
      </c>
      <c r="J22" s="70"/>
      <c r="L22" s="111"/>
      <c r="M22" s="111"/>
    </row>
    <row r="23" spans="1:13" ht="24" x14ac:dyDescent="0.25">
      <c r="A23" s="1">
        <v>4</v>
      </c>
      <c r="B23" s="60" t="s">
        <v>935</v>
      </c>
      <c r="C23" s="10" t="str">
        <f>"NAR 14/2017-SAVJET"</f>
        <v>NAR 14/2017-SAVJET</v>
      </c>
      <c r="D23" s="56">
        <v>42736</v>
      </c>
      <c r="E23" s="56">
        <v>43100</v>
      </c>
      <c r="F23" s="8">
        <v>76.930000000000007</v>
      </c>
      <c r="G23" s="8">
        <v>96.16</v>
      </c>
      <c r="H23" s="56">
        <v>43100</v>
      </c>
      <c r="I23" s="24">
        <v>96.162500000000009</v>
      </c>
      <c r="J23" s="70"/>
      <c r="L23" s="111"/>
      <c r="M23" s="111"/>
    </row>
    <row r="24" spans="1:13" ht="24" x14ac:dyDescent="0.25">
      <c r="A24" s="1">
        <v>5</v>
      </c>
      <c r="B24" s="60" t="s">
        <v>886</v>
      </c>
      <c r="C24" s="10" t="str">
        <f>"NAR 8/2017-DROGE"</f>
        <v>NAR 8/2017-DROGE</v>
      </c>
      <c r="D24" s="56">
        <v>42736</v>
      </c>
      <c r="E24" s="56">
        <v>43100</v>
      </c>
      <c r="F24" s="8">
        <v>197.82</v>
      </c>
      <c r="G24" s="8">
        <v>247.28</v>
      </c>
      <c r="H24" s="56">
        <v>43100</v>
      </c>
      <c r="I24" s="24">
        <v>247.27499999999998</v>
      </c>
      <c r="J24" s="70"/>
      <c r="L24" s="111"/>
      <c r="M24" s="111"/>
    </row>
    <row r="25" spans="1:13" ht="36" x14ac:dyDescent="0.25">
      <c r="A25" s="1">
        <v>6</v>
      </c>
      <c r="B25" s="60" t="s">
        <v>900</v>
      </c>
      <c r="C25" s="10" t="str">
        <f>"NAR 18/2017 -UZESLJP"</f>
        <v>NAR 18/2017 -UZESLJP</v>
      </c>
      <c r="D25" s="56">
        <v>42736</v>
      </c>
      <c r="E25" s="56">
        <v>43100</v>
      </c>
      <c r="F25" s="8">
        <v>120.89</v>
      </c>
      <c r="G25" s="8">
        <v>151.11000000000001</v>
      </c>
      <c r="H25" s="56">
        <v>43100</v>
      </c>
      <c r="I25" s="24">
        <v>151.11250000000001</v>
      </c>
      <c r="J25" s="70"/>
      <c r="L25" s="111"/>
      <c r="M25" s="111"/>
    </row>
    <row r="26" spans="1:13" ht="24" x14ac:dyDescent="0.25">
      <c r="A26" s="1">
        <v>7</v>
      </c>
      <c r="B26" s="60" t="s">
        <v>936</v>
      </c>
      <c r="C26" s="10" t="str">
        <f>"NAR 23/2017 - UDRUGE"</f>
        <v>NAR 23/2017 - UDRUGE</v>
      </c>
      <c r="D26" s="56">
        <v>42736</v>
      </c>
      <c r="E26" s="56">
        <v>43100</v>
      </c>
      <c r="F26" s="8">
        <v>505.54</v>
      </c>
      <c r="G26" s="8">
        <v>631.92999999999995</v>
      </c>
      <c r="H26" s="56">
        <v>43100</v>
      </c>
      <c r="I26" s="24">
        <v>631.92500000000007</v>
      </c>
      <c r="J26" s="70"/>
      <c r="L26" s="111"/>
      <c r="M26" s="111"/>
    </row>
    <row r="27" spans="1:13" ht="24" x14ac:dyDescent="0.25">
      <c r="A27" s="1">
        <v>8</v>
      </c>
      <c r="B27" s="60" t="s">
        <v>206</v>
      </c>
      <c r="C27" s="10" t="str">
        <f>"ANTISPAM LICENCE 2017"</f>
        <v>ANTISPAM LICENCE 2017</v>
      </c>
      <c r="D27" s="56">
        <v>42737</v>
      </c>
      <c r="E27" s="56">
        <v>43100</v>
      </c>
      <c r="F27" s="8">
        <v>1593.55</v>
      </c>
      <c r="G27" s="8">
        <v>1991.94</v>
      </c>
      <c r="H27" s="56">
        <v>43100</v>
      </c>
      <c r="I27" s="24">
        <v>1991.9375</v>
      </c>
      <c r="J27" s="70"/>
      <c r="L27" s="111"/>
      <c r="M27" s="111"/>
    </row>
    <row r="28" spans="1:13" ht="36" x14ac:dyDescent="0.25">
      <c r="A28" s="1">
        <v>9</v>
      </c>
      <c r="B28" s="60" t="s">
        <v>937</v>
      </c>
      <c r="C28" s="10" t="str">
        <f>"NAR 6/2017-RAZMINIRANJE"</f>
        <v>NAR 6/2017-RAZMINIRANJE</v>
      </c>
      <c r="D28" s="56">
        <v>42736</v>
      </c>
      <c r="E28" s="56">
        <v>43100</v>
      </c>
      <c r="F28" s="8">
        <v>98.91</v>
      </c>
      <c r="G28" s="8">
        <v>123.64</v>
      </c>
      <c r="H28" s="56">
        <v>43100</v>
      </c>
      <c r="I28" s="24">
        <v>123.63749999999999</v>
      </c>
      <c r="J28" s="70"/>
      <c r="L28" s="111"/>
      <c r="M28" s="111"/>
    </row>
    <row r="29" spans="1:13" ht="36" x14ac:dyDescent="0.25">
      <c r="A29" s="1">
        <v>10</v>
      </c>
      <c r="B29" s="60" t="s">
        <v>938</v>
      </c>
      <c r="C29" s="10" t="str">
        <f>"NAR 36/2017 - RAVNOPRAVNOST"</f>
        <v>NAR 36/2017 - RAVNOPRAVNOST</v>
      </c>
      <c r="D29" s="56">
        <v>42736</v>
      </c>
      <c r="E29" s="56">
        <v>43100</v>
      </c>
      <c r="F29" s="8">
        <v>131.88</v>
      </c>
      <c r="G29" s="8">
        <v>164.85</v>
      </c>
      <c r="H29" s="56">
        <v>43100</v>
      </c>
      <c r="I29" s="24">
        <v>164.85</v>
      </c>
      <c r="J29" s="70"/>
      <c r="L29" s="111"/>
      <c r="M29" s="111"/>
    </row>
    <row r="30" spans="1:13" ht="24" x14ac:dyDescent="0.25">
      <c r="A30" s="1">
        <v>11</v>
      </c>
      <c r="B30" s="60" t="s">
        <v>193</v>
      </c>
      <c r="C30" s="10" t="str">
        <f>"21-18-15-1"</f>
        <v>21-18-15-1</v>
      </c>
      <c r="D30" s="56">
        <v>42152</v>
      </c>
      <c r="E30" s="56">
        <v>43248</v>
      </c>
      <c r="F30" s="8">
        <v>31321.5</v>
      </c>
      <c r="G30" s="8">
        <v>39151.879999999997</v>
      </c>
      <c r="H30" s="56">
        <v>43100</v>
      </c>
      <c r="I30" s="24">
        <v>39151.875</v>
      </c>
      <c r="J30" s="70"/>
      <c r="L30" s="111"/>
      <c r="M30" s="111"/>
    </row>
    <row r="31" spans="1:13" ht="24" x14ac:dyDescent="0.25">
      <c r="A31" s="1">
        <v>12</v>
      </c>
      <c r="B31" s="60" t="s">
        <v>939</v>
      </c>
      <c r="C31" s="10" t="str">
        <f>"1/2014-DUSJN"</f>
        <v>1/2014-DUSJN</v>
      </c>
      <c r="D31" s="56">
        <v>42055</v>
      </c>
      <c r="E31" s="56">
        <v>43164</v>
      </c>
      <c r="F31" s="8">
        <v>1055.04</v>
      </c>
      <c r="G31" s="8">
        <v>1318.8</v>
      </c>
      <c r="H31" s="56">
        <v>42369</v>
      </c>
      <c r="I31" s="24">
        <v>1318.4</v>
      </c>
      <c r="J31" s="70"/>
      <c r="L31" s="111"/>
      <c r="M31" s="111"/>
    </row>
    <row r="32" spans="1:13" ht="24" x14ac:dyDescent="0.25">
      <c r="A32" s="1">
        <v>13</v>
      </c>
      <c r="B32" s="60" t="s">
        <v>211</v>
      </c>
      <c r="C32" s="10" t="str">
        <f>"278-01293"</f>
        <v>278-01293</v>
      </c>
      <c r="D32" s="56">
        <v>41984</v>
      </c>
      <c r="E32" s="56">
        <v>43080</v>
      </c>
      <c r="F32" s="8">
        <v>1978.2</v>
      </c>
      <c r="G32" s="8">
        <v>2472.75</v>
      </c>
      <c r="H32" s="56">
        <v>43100</v>
      </c>
      <c r="I32" s="24">
        <v>824.25</v>
      </c>
      <c r="J32" s="70"/>
      <c r="L32" s="111"/>
      <c r="M32" s="111"/>
    </row>
    <row r="33" spans="1:14" ht="24" x14ac:dyDescent="0.25">
      <c r="A33" s="1">
        <v>14</v>
      </c>
      <c r="B33" s="60" t="s">
        <v>202</v>
      </c>
      <c r="C33" s="10" t="str">
        <f>"278-01231"</f>
        <v>278-01231</v>
      </c>
      <c r="D33" s="56">
        <v>41962</v>
      </c>
      <c r="E33" s="56">
        <v>43058</v>
      </c>
      <c r="F33" s="8">
        <v>4615.8</v>
      </c>
      <c r="G33" s="8">
        <v>5769.75</v>
      </c>
      <c r="H33" s="56">
        <v>43100</v>
      </c>
      <c r="I33" s="24">
        <v>5769.75</v>
      </c>
      <c r="J33" s="70"/>
      <c r="L33" s="111"/>
      <c r="M33" s="111"/>
    </row>
    <row r="34" spans="1:14" x14ac:dyDescent="0.25">
      <c r="A34" s="1">
        <v>15</v>
      </c>
      <c r="B34" s="60" t="s">
        <v>17</v>
      </c>
      <c r="C34" s="10" t="str">
        <f>"14-DUSJN/14"</f>
        <v>14-DUSJN/14</v>
      </c>
      <c r="D34" s="56">
        <v>41914</v>
      </c>
      <c r="E34" s="56">
        <v>43010</v>
      </c>
      <c r="F34" s="8">
        <v>290136</v>
      </c>
      <c r="G34" s="8">
        <v>362670</v>
      </c>
      <c r="H34" s="56">
        <v>43010</v>
      </c>
      <c r="I34" s="24">
        <v>604450</v>
      </c>
      <c r="J34" s="70"/>
      <c r="L34" s="111"/>
      <c r="M34" s="111"/>
    </row>
    <row r="35" spans="1:14" ht="7.5" customHeight="1" x14ac:dyDescent="0.25"/>
    <row r="36" spans="1:14" x14ac:dyDescent="0.25">
      <c r="A36" s="175" t="s">
        <v>24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</row>
    <row r="37" spans="1:14" ht="36" x14ac:dyDescent="0.25">
      <c r="A37" s="53" t="s">
        <v>0</v>
      </c>
      <c r="B37" s="54" t="s">
        <v>1</v>
      </c>
      <c r="C37" s="54" t="s">
        <v>3</v>
      </c>
      <c r="D37" s="178" t="s">
        <v>171</v>
      </c>
      <c r="E37" s="178"/>
      <c r="F37" s="54" t="s">
        <v>166</v>
      </c>
      <c r="G37" s="54" t="s">
        <v>170</v>
      </c>
      <c r="H37" s="54" t="s">
        <v>167</v>
      </c>
      <c r="I37" s="54" t="s">
        <v>4</v>
      </c>
      <c r="J37" s="54" t="s">
        <v>5</v>
      </c>
      <c r="K37" s="54" t="s">
        <v>2</v>
      </c>
      <c r="L37" s="54" t="s">
        <v>172</v>
      </c>
      <c r="M37" s="54" t="s">
        <v>173</v>
      </c>
      <c r="N37" s="54" t="s">
        <v>169</v>
      </c>
    </row>
    <row r="38" spans="1:14" ht="61.5" customHeight="1" x14ac:dyDescent="0.25">
      <c r="A38" s="1">
        <v>1</v>
      </c>
      <c r="B38" s="22" t="s">
        <v>84</v>
      </c>
      <c r="C38" s="23" t="s">
        <v>85</v>
      </c>
      <c r="D38" s="192" t="s">
        <v>1052</v>
      </c>
      <c r="E38" s="192"/>
      <c r="F38" s="39" t="s">
        <v>102</v>
      </c>
      <c r="G38" s="1" t="s">
        <v>1006</v>
      </c>
      <c r="H38" s="16" t="s">
        <v>15</v>
      </c>
      <c r="I38" s="26">
        <v>42688</v>
      </c>
      <c r="J38" s="16" t="s">
        <v>30</v>
      </c>
      <c r="K38" s="17">
        <v>155836731.22999999</v>
      </c>
      <c r="L38" s="95">
        <f>K38*0.25</f>
        <v>38959182.807499997</v>
      </c>
      <c r="M38" s="95">
        <f>K38+L38</f>
        <v>194795914.03749999</v>
      </c>
      <c r="N38" s="176"/>
    </row>
    <row r="39" spans="1:14" ht="15" customHeight="1" x14ac:dyDescent="0.25">
      <c r="A39" s="177" t="s">
        <v>1012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97">
        <v>149886601.58000001</v>
      </c>
      <c r="N39" s="176"/>
    </row>
    <row r="40" spans="1:14" ht="7.5" customHeight="1" x14ac:dyDescent="0.25">
      <c r="L40" s="47"/>
    </row>
    <row r="41" spans="1:14" ht="15" customHeight="1" x14ac:dyDescent="0.25">
      <c r="A41" s="175" t="s">
        <v>12</v>
      </c>
      <c r="B41" s="175"/>
      <c r="C41" s="175"/>
      <c r="D41" s="175"/>
      <c r="E41" s="175"/>
      <c r="F41" s="175"/>
      <c r="G41" s="175"/>
      <c r="H41" s="175"/>
      <c r="I41" s="175"/>
      <c r="J41" s="175"/>
      <c r="K41" s="49"/>
      <c r="L41" s="49"/>
    </row>
    <row r="42" spans="1:14" ht="48" customHeight="1" x14ac:dyDescent="0.25">
      <c r="A42" s="2" t="s">
        <v>0</v>
      </c>
      <c r="B42" s="3" t="s">
        <v>7</v>
      </c>
      <c r="C42" s="3" t="s">
        <v>6</v>
      </c>
      <c r="D42" s="3" t="s">
        <v>8</v>
      </c>
      <c r="E42" s="3" t="s">
        <v>168</v>
      </c>
      <c r="F42" s="3" t="s">
        <v>174</v>
      </c>
      <c r="G42" s="3" t="s">
        <v>175</v>
      </c>
      <c r="H42" s="3" t="s">
        <v>9</v>
      </c>
      <c r="I42" s="3" t="s">
        <v>176</v>
      </c>
      <c r="J42" s="3" t="s">
        <v>10</v>
      </c>
      <c r="L42" s="48"/>
      <c r="M42" s="48"/>
    </row>
    <row r="43" spans="1:14" ht="36" x14ac:dyDescent="0.25">
      <c r="A43" s="38">
        <v>1</v>
      </c>
      <c r="B43" s="87" t="s">
        <v>185</v>
      </c>
      <c r="C43" s="85" t="str">
        <f>"1/2016 LICENCE ZA ZU VLASN. RH"</f>
        <v>1/2016 LICENCE ZA ZU VLASN. RH</v>
      </c>
      <c r="D43" s="86">
        <v>43096</v>
      </c>
      <c r="E43" s="86">
        <v>43646</v>
      </c>
      <c r="F43" s="84">
        <v>28612256.399999999</v>
      </c>
      <c r="G43" s="84">
        <v>35765320.5</v>
      </c>
      <c r="H43" s="86">
        <v>43100</v>
      </c>
      <c r="I43" s="37">
        <v>32839999.950000003</v>
      </c>
      <c r="J43" s="72"/>
      <c r="L43" s="111"/>
      <c r="M43" s="111"/>
    </row>
    <row r="44" spans="1:14" ht="24" x14ac:dyDescent="0.25">
      <c r="A44" s="115">
        <v>2</v>
      </c>
      <c r="B44" s="87" t="s">
        <v>193</v>
      </c>
      <c r="C44" s="85" t="str">
        <f>"O-17/2415"</f>
        <v>O-17/2415</v>
      </c>
      <c r="D44" s="86">
        <v>43087</v>
      </c>
      <c r="E44" s="86">
        <v>43100</v>
      </c>
      <c r="F44" s="84">
        <v>76264.100000000006</v>
      </c>
      <c r="G44" s="84">
        <v>95330.13</v>
      </c>
      <c r="H44" s="86">
        <v>43100</v>
      </c>
      <c r="I44" s="37">
        <v>95330.125</v>
      </c>
      <c r="J44" s="72"/>
      <c r="L44" s="111"/>
      <c r="M44" s="111"/>
    </row>
    <row r="45" spans="1:14" ht="24" x14ac:dyDescent="0.25">
      <c r="A45" s="115">
        <v>3</v>
      </c>
      <c r="B45" s="87" t="s">
        <v>193</v>
      </c>
      <c r="C45" s="85" t="str">
        <f>"O-17/2420"</f>
        <v>O-17/2420</v>
      </c>
      <c r="D45" s="86">
        <v>43087</v>
      </c>
      <c r="E45" s="86">
        <v>43100</v>
      </c>
      <c r="F45" s="84">
        <v>62414.62</v>
      </c>
      <c r="G45" s="84">
        <v>78018.28</v>
      </c>
      <c r="H45" s="86">
        <v>43100</v>
      </c>
      <c r="I45" s="37">
        <v>78018.275000000009</v>
      </c>
      <c r="J45" s="72"/>
      <c r="L45" s="111"/>
      <c r="M45" s="111"/>
    </row>
    <row r="46" spans="1:14" ht="36" x14ac:dyDescent="0.25">
      <c r="A46" s="115">
        <v>4</v>
      </c>
      <c r="B46" s="87" t="s">
        <v>189</v>
      </c>
      <c r="C46" s="85" t="str">
        <f>"862/2017"</f>
        <v>862/2017</v>
      </c>
      <c r="D46" s="86">
        <v>43056</v>
      </c>
      <c r="E46" s="86">
        <v>43086</v>
      </c>
      <c r="F46" s="84">
        <v>17288.8</v>
      </c>
      <c r="G46" s="84">
        <v>21611</v>
      </c>
      <c r="H46" s="86">
        <v>43100</v>
      </c>
      <c r="I46" s="37">
        <v>21611</v>
      </c>
      <c r="J46" s="72"/>
      <c r="L46" s="111"/>
      <c r="M46" s="111"/>
    </row>
    <row r="47" spans="1:14" ht="24" x14ac:dyDescent="0.25">
      <c r="A47" s="115">
        <v>5</v>
      </c>
      <c r="B47" s="87" t="s">
        <v>17</v>
      </c>
      <c r="C47" s="85" t="str">
        <f>"NAR.BR. 1553/2017"</f>
        <v>NAR.BR. 1553/2017</v>
      </c>
      <c r="D47" s="86">
        <v>43024</v>
      </c>
      <c r="E47" s="86">
        <v>43033</v>
      </c>
      <c r="F47" s="84">
        <v>124549.67</v>
      </c>
      <c r="G47" s="84">
        <v>155687.09</v>
      </c>
      <c r="H47" s="86">
        <v>43100</v>
      </c>
      <c r="I47" s="37">
        <v>155687.08749999999</v>
      </c>
      <c r="J47" s="72"/>
      <c r="L47" s="111"/>
      <c r="M47" s="111"/>
    </row>
    <row r="48" spans="1:14" ht="36" x14ac:dyDescent="0.25">
      <c r="A48" s="115">
        <v>6</v>
      </c>
      <c r="B48" s="87" t="s">
        <v>189</v>
      </c>
      <c r="C48" s="85" t="str">
        <f>"533/2017"</f>
        <v>533/2017</v>
      </c>
      <c r="D48" s="86">
        <v>42979</v>
      </c>
      <c r="E48" s="86">
        <v>43281</v>
      </c>
      <c r="F48" s="84">
        <v>36380.699999999997</v>
      </c>
      <c r="G48" s="84">
        <v>45475.88</v>
      </c>
      <c r="H48" s="86">
        <v>43008</v>
      </c>
      <c r="I48" s="37">
        <v>45475.875</v>
      </c>
      <c r="J48" s="72"/>
      <c r="L48" s="111"/>
      <c r="M48" s="111"/>
    </row>
    <row r="49" spans="1:13" ht="24" x14ac:dyDescent="0.25">
      <c r="A49" s="115">
        <v>7</v>
      </c>
      <c r="B49" s="87" t="s">
        <v>18</v>
      </c>
      <c r="C49" s="85" t="str">
        <f>"SNUG-204-17-053"</f>
        <v>SNUG-204-17-053</v>
      </c>
      <c r="D49" s="86">
        <v>42943</v>
      </c>
      <c r="E49" s="86">
        <v>43281</v>
      </c>
      <c r="F49" s="84">
        <v>2103423.4500000002</v>
      </c>
      <c r="G49" s="84">
        <v>2629279.31</v>
      </c>
      <c r="H49" s="86">
        <v>43100</v>
      </c>
      <c r="I49" s="37">
        <v>2597111.9249999998</v>
      </c>
      <c r="J49" s="72"/>
      <c r="L49" s="111"/>
      <c r="M49" s="111"/>
    </row>
    <row r="50" spans="1:13" ht="24" x14ac:dyDescent="0.25">
      <c r="A50" s="115">
        <v>8</v>
      </c>
      <c r="B50" s="87" t="s">
        <v>203</v>
      </c>
      <c r="C50" s="85" t="str">
        <f>"U-14-MV/17"</f>
        <v>U-14-MV/17</v>
      </c>
      <c r="D50" s="86">
        <v>42898</v>
      </c>
      <c r="E50" s="86">
        <v>43281</v>
      </c>
      <c r="F50" s="84">
        <v>791968.93</v>
      </c>
      <c r="G50" s="84">
        <v>989961.16</v>
      </c>
      <c r="H50" s="86">
        <v>43100</v>
      </c>
      <c r="I50" s="37">
        <v>163904.25</v>
      </c>
      <c r="J50" s="71"/>
      <c r="L50" s="111"/>
      <c r="M50" s="111"/>
    </row>
    <row r="51" spans="1:13" x14ac:dyDescent="0.25">
      <c r="A51" s="115">
        <v>9</v>
      </c>
      <c r="B51" s="87" t="s">
        <v>582</v>
      </c>
      <c r="C51" s="85" t="str">
        <f>"SS-1/2016"</f>
        <v>SS-1/2016</v>
      </c>
      <c r="D51" s="86">
        <v>42900</v>
      </c>
      <c r="E51" s="86">
        <v>43281</v>
      </c>
      <c r="F51" s="84">
        <v>168329.04</v>
      </c>
      <c r="G51" s="84">
        <v>210411.29</v>
      </c>
      <c r="H51" s="164"/>
      <c r="I51" s="166">
        <v>0</v>
      </c>
      <c r="J51" s="71"/>
      <c r="L51" s="111"/>
      <c r="M51" s="111"/>
    </row>
    <row r="52" spans="1:13" ht="24" x14ac:dyDescent="0.25">
      <c r="A52" s="115">
        <v>10</v>
      </c>
      <c r="B52" s="87" t="s">
        <v>186</v>
      </c>
      <c r="C52" s="85" t="str">
        <f>"406-01/16-01/0181"</f>
        <v>406-01/16-01/0181</v>
      </c>
      <c r="D52" s="86">
        <v>42894</v>
      </c>
      <c r="E52" s="86">
        <v>43281</v>
      </c>
      <c r="F52" s="84">
        <v>250283.46</v>
      </c>
      <c r="G52" s="84">
        <v>312854.33</v>
      </c>
      <c r="H52" s="164"/>
      <c r="I52" s="166">
        <v>0</v>
      </c>
      <c r="J52" s="71"/>
      <c r="L52" s="111"/>
      <c r="M52" s="111"/>
    </row>
    <row r="53" spans="1:13" ht="24" x14ac:dyDescent="0.25">
      <c r="A53" s="115">
        <v>11</v>
      </c>
      <c r="B53" s="87" t="s">
        <v>199</v>
      </c>
      <c r="C53" s="85" t="str">
        <f>"1/2016-MHB2"</f>
        <v>1/2016-MHB2</v>
      </c>
      <c r="D53" s="86">
        <v>42920</v>
      </c>
      <c r="E53" s="86">
        <v>43281</v>
      </c>
      <c r="F53" s="84">
        <v>136200</v>
      </c>
      <c r="G53" s="84">
        <v>170250</v>
      </c>
      <c r="H53" s="86">
        <v>43100</v>
      </c>
      <c r="I53" s="37">
        <v>170409.21249999999</v>
      </c>
      <c r="J53" s="71"/>
      <c r="L53" s="111"/>
      <c r="M53" s="111"/>
    </row>
    <row r="54" spans="1:13" ht="24" x14ac:dyDescent="0.25">
      <c r="A54" s="115">
        <v>12</v>
      </c>
      <c r="B54" s="87" t="s">
        <v>194</v>
      </c>
      <c r="C54" s="85" t="str">
        <f>"29/17"</f>
        <v>29/17</v>
      </c>
      <c r="D54" s="86">
        <v>42940</v>
      </c>
      <c r="E54" s="86">
        <v>43281</v>
      </c>
      <c r="F54" s="84">
        <v>4010302.55</v>
      </c>
      <c r="G54" s="84">
        <v>5012878.1900000004</v>
      </c>
      <c r="H54" s="86">
        <v>43100</v>
      </c>
      <c r="I54" s="37">
        <v>5010243.8</v>
      </c>
      <c r="J54" s="71"/>
      <c r="L54" s="111"/>
      <c r="M54" s="111"/>
    </row>
    <row r="55" spans="1:13" x14ac:dyDescent="0.25">
      <c r="A55" s="115">
        <v>13</v>
      </c>
      <c r="B55" s="87" t="s">
        <v>198</v>
      </c>
      <c r="C55" s="85" t="str">
        <f>"P/15173945"</f>
        <v>P/15173945</v>
      </c>
      <c r="D55" s="86">
        <v>42942</v>
      </c>
      <c r="E55" s="86">
        <v>43281</v>
      </c>
      <c r="F55" s="84">
        <v>4173551.63</v>
      </c>
      <c r="G55" s="84">
        <v>5216939.54</v>
      </c>
      <c r="H55" s="86">
        <v>43100</v>
      </c>
      <c r="I55" s="37">
        <v>5152282.875</v>
      </c>
      <c r="J55" s="71"/>
      <c r="L55" s="111"/>
      <c r="M55" s="111"/>
    </row>
    <row r="56" spans="1:13" ht="36" x14ac:dyDescent="0.25">
      <c r="A56" s="115">
        <v>14</v>
      </c>
      <c r="B56" s="87" t="s">
        <v>97</v>
      </c>
      <c r="C56" s="85" t="str">
        <f>"030-01/17-01/40 - DRUGI UGOVOR"</f>
        <v>030-01/17-01/40 - DRUGI UGOVOR</v>
      </c>
      <c r="D56" s="86">
        <v>42907</v>
      </c>
      <c r="E56" s="86">
        <v>42916</v>
      </c>
      <c r="F56" s="84">
        <v>675019.05</v>
      </c>
      <c r="G56" s="84">
        <v>843773.81</v>
      </c>
      <c r="H56" s="164"/>
      <c r="I56" s="166">
        <v>0</v>
      </c>
      <c r="J56" s="71"/>
      <c r="L56" s="111"/>
      <c r="M56" s="111"/>
    </row>
    <row r="57" spans="1:13" ht="36" x14ac:dyDescent="0.25">
      <c r="A57" s="115">
        <v>15</v>
      </c>
      <c r="B57" s="87" t="s">
        <v>638</v>
      </c>
      <c r="C57" s="85" t="str">
        <f>"APPRRR 2. GODIŠNJI UGOVOR"</f>
        <v>APPRRR 2. GODIŠNJI UGOVOR</v>
      </c>
      <c r="D57" s="86">
        <v>42942</v>
      </c>
      <c r="E57" s="86">
        <v>43281</v>
      </c>
      <c r="F57" s="84">
        <v>1272939.45</v>
      </c>
      <c r="G57" s="84">
        <v>1591174.31</v>
      </c>
      <c r="H57" s="86">
        <v>42979</v>
      </c>
      <c r="I57" s="37">
        <v>1591174.3125</v>
      </c>
      <c r="J57" s="72"/>
      <c r="L57" s="111"/>
      <c r="M57" s="111"/>
    </row>
    <row r="58" spans="1:13" ht="24" x14ac:dyDescent="0.25">
      <c r="A58" s="115">
        <v>16</v>
      </c>
      <c r="B58" s="87" t="s">
        <v>940</v>
      </c>
      <c r="C58" s="85" t="str">
        <f>"HZZ - 2 GODINA"</f>
        <v>HZZ - 2 GODINA</v>
      </c>
      <c r="D58" s="86">
        <v>42944</v>
      </c>
      <c r="E58" s="86">
        <v>43281</v>
      </c>
      <c r="F58" s="84">
        <v>1557371.62</v>
      </c>
      <c r="G58" s="84">
        <v>1946714.53</v>
      </c>
      <c r="H58" s="86">
        <v>42948</v>
      </c>
      <c r="I58" s="37">
        <v>1946714.5250000001</v>
      </c>
      <c r="J58" s="72"/>
      <c r="L58" s="111"/>
      <c r="M58" s="111"/>
    </row>
    <row r="59" spans="1:13" x14ac:dyDescent="0.25">
      <c r="A59" s="115">
        <v>17</v>
      </c>
      <c r="B59" s="87" t="s">
        <v>546</v>
      </c>
      <c r="C59" s="85" t="str">
        <f>"0173/17"</f>
        <v>0173/17</v>
      </c>
      <c r="D59" s="86">
        <v>42976</v>
      </c>
      <c r="E59" s="86">
        <v>43281</v>
      </c>
      <c r="F59" s="84">
        <v>19642.96</v>
      </c>
      <c r="G59" s="84">
        <v>24553.7</v>
      </c>
      <c r="H59" s="86">
        <v>43100</v>
      </c>
      <c r="I59" s="37">
        <v>24553.699999999997</v>
      </c>
      <c r="J59" s="72"/>
      <c r="L59" s="111"/>
      <c r="M59" s="111"/>
    </row>
    <row r="60" spans="1:13" x14ac:dyDescent="0.25">
      <c r="A60" s="115">
        <v>18</v>
      </c>
      <c r="B60" s="87" t="s">
        <v>278</v>
      </c>
      <c r="C60" s="85" t="str">
        <f>"142/2017"</f>
        <v>142/2017</v>
      </c>
      <c r="D60" s="86">
        <v>42936</v>
      </c>
      <c r="E60" s="86">
        <v>43281</v>
      </c>
      <c r="F60" s="84">
        <v>282898</v>
      </c>
      <c r="G60" s="84">
        <v>353622.5</v>
      </c>
      <c r="H60" s="86">
        <v>43100</v>
      </c>
      <c r="I60" s="37">
        <v>300311.32500000001</v>
      </c>
      <c r="J60" s="72"/>
      <c r="L60" s="111"/>
      <c r="M60" s="111"/>
    </row>
    <row r="61" spans="1:13" ht="36" x14ac:dyDescent="0.25">
      <c r="A61" s="115">
        <v>19</v>
      </c>
      <c r="B61" s="87" t="s">
        <v>189</v>
      </c>
      <c r="C61" s="85" t="str">
        <f>"03-A-SI-0521/17-21"</f>
        <v>03-A-SI-0521/17-21</v>
      </c>
      <c r="D61" s="86">
        <v>42930</v>
      </c>
      <c r="E61" s="86">
        <v>43281</v>
      </c>
      <c r="F61" s="84">
        <v>455547.01</v>
      </c>
      <c r="G61" s="84">
        <v>569433.76</v>
      </c>
      <c r="H61" s="86">
        <v>43008</v>
      </c>
      <c r="I61" s="37">
        <v>570063.30000000005</v>
      </c>
      <c r="J61" s="72"/>
      <c r="L61" s="111"/>
      <c r="M61" s="111"/>
    </row>
    <row r="62" spans="1:13" ht="24" x14ac:dyDescent="0.25">
      <c r="A62" s="115">
        <v>20</v>
      </c>
      <c r="B62" s="87" t="s">
        <v>202</v>
      </c>
      <c r="C62" s="85" t="str">
        <f>"COMPING-LICENCE-2"</f>
        <v>COMPING-LICENCE-2</v>
      </c>
      <c r="D62" s="86">
        <v>42916</v>
      </c>
      <c r="E62" s="86">
        <v>43281</v>
      </c>
      <c r="F62" s="84">
        <v>117719.77</v>
      </c>
      <c r="G62" s="84">
        <v>147149.71</v>
      </c>
      <c r="H62" s="164"/>
      <c r="I62" s="166">
        <v>0</v>
      </c>
      <c r="J62" s="72"/>
      <c r="L62" s="111"/>
      <c r="M62" s="111"/>
    </row>
    <row r="63" spans="1:13" ht="24" x14ac:dyDescent="0.25">
      <c r="A63" s="115">
        <v>21</v>
      </c>
      <c r="B63" s="87" t="s">
        <v>700</v>
      </c>
      <c r="C63" s="85" t="str">
        <f>"HZN-5-13/2017-IBO-1"</f>
        <v>HZN-5-13/2017-IBO-1</v>
      </c>
      <c r="D63" s="86">
        <v>42923</v>
      </c>
      <c r="E63" s="86">
        <v>43281</v>
      </c>
      <c r="F63" s="84">
        <v>181263.13</v>
      </c>
      <c r="G63" s="84">
        <v>226578.91</v>
      </c>
      <c r="H63" s="86">
        <v>43100</v>
      </c>
      <c r="I63" s="37">
        <v>226578.91250000001</v>
      </c>
      <c r="J63" s="71"/>
      <c r="L63" s="111"/>
      <c r="M63" s="111"/>
    </row>
    <row r="64" spans="1:13" ht="24" x14ac:dyDescent="0.25">
      <c r="A64" s="115">
        <v>22</v>
      </c>
      <c r="B64" s="87" t="s">
        <v>467</v>
      </c>
      <c r="C64" s="85" t="str">
        <f>"URBROJ 406-01/17-01/60"</f>
        <v>URBROJ 406-01/17-01/60</v>
      </c>
      <c r="D64" s="86">
        <v>42920</v>
      </c>
      <c r="E64" s="86">
        <v>43281</v>
      </c>
      <c r="F64" s="84">
        <v>29437.53</v>
      </c>
      <c r="G64" s="84">
        <v>36796.910000000003</v>
      </c>
      <c r="H64" s="86">
        <v>43100</v>
      </c>
      <c r="I64" s="37">
        <v>36796.912499999999</v>
      </c>
      <c r="J64" s="71"/>
      <c r="L64" s="111"/>
      <c r="M64" s="111"/>
    </row>
    <row r="65" spans="1:13" ht="24" x14ac:dyDescent="0.25">
      <c r="A65" s="115">
        <v>23</v>
      </c>
      <c r="B65" s="87" t="s">
        <v>941</v>
      </c>
      <c r="C65" s="85" t="str">
        <f>"HZPR 1/2016-2"</f>
        <v>HZPR 1/2016-2</v>
      </c>
      <c r="D65" s="86">
        <v>42919</v>
      </c>
      <c r="E65" s="86">
        <v>43281</v>
      </c>
      <c r="F65" s="84">
        <v>24742.84</v>
      </c>
      <c r="G65" s="84">
        <v>30928.55</v>
      </c>
      <c r="H65" s="86">
        <v>43100</v>
      </c>
      <c r="I65" s="37">
        <v>30928.55</v>
      </c>
      <c r="J65" s="71"/>
      <c r="L65" s="111"/>
      <c r="M65" s="111"/>
    </row>
    <row r="66" spans="1:13" ht="24" x14ac:dyDescent="0.25">
      <c r="A66" s="115">
        <v>24</v>
      </c>
      <c r="B66" s="87" t="s">
        <v>670</v>
      </c>
      <c r="C66" s="85" t="str">
        <f>"PPU 31-28-103/17"</f>
        <v>PPU 31-28-103/17</v>
      </c>
      <c r="D66" s="86">
        <v>42919</v>
      </c>
      <c r="E66" s="86">
        <v>43281</v>
      </c>
      <c r="F66" s="84">
        <v>46228</v>
      </c>
      <c r="G66" s="84">
        <v>57785</v>
      </c>
      <c r="H66" s="86">
        <v>42949</v>
      </c>
      <c r="I66" s="37">
        <v>57786.074999999997</v>
      </c>
      <c r="J66" s="71"/>
      <c r="L66" s="111"/>
      <c r="M66" s="111"/>
    </row>
    <row r="67" spans="1:13" ht="24" x14ac:dyDescent="0.25">
      <c r="A67" s="115">
        <v>25</v>
      </c>
      <c r="B67" s="87" t="s">
        <v>548</v>
      </c>
      <c r="C67" s="85" t="str">
        <f>"427-10-14-17-4586/U"</f>
        <v>427-10-14-17-4586/U</v>
      </c>
      <c r="D67" s="86">
        <v>42920</v>
      </c>
      <c r="E67" s="86">
        <v>43281</v>
      </c>
      <c r="F67" s="84">
        <v>29007.15</v>
      </c>
      <c r="G67" s="84">
        <v>36258.94</v>
      </c>
      <c r="H67" s="164"/>
      <c r="I67" s="166">
        <v>0</v>
      </c>
      <c r="J67" s="71"/>
      <c r="L67" s="111"/>
      <c r="M67" s="111"/>
    </row>
    <row r="68" spans="1:13" ht="36" x14ac:dyDescent="0.25">
      <c r="A68" s="115">
        <v>26</v>
      </c>
      <c r="B68" s="87" t="s">
        <v>97</v>
      </c>
      <c r="C68" s="85" t="str">
        <f>"030-01/17-01/40"</f>
        <v>030-01/17-01/40</v>
      </c>
      <c r="D68" s="86">
        <v>42907</v>
      </c>
      <c r="E68" s="86">
        <v>42916</v>
      </c>
      <c r="F68" s="84">
        <v>5500000</v>
      </c>
      <c r="G68" s="84">
        <v>6875000</v>
      </c>
      <c r="H68" s="164"/>
      <c r="I68" s="166">
        <v>0</v>
      </c>
      <c r="J68" s="71"/>
      <c r="L68" s="111"/>
      <c r="M68" s="111"/>
    </row>
    <row r="69" spans="1:13" x14ac:dyDescent="0.25">
      <c r="A69" s="115">
        <v>27</v>
      </c>
      <c r="B69" s="87" t="s">
        <v>632</v>
      </c>
      <c r="C69" s="85" t="str">
        <f>"16/2-2"</f>
        <v>16/2-2</v>
      </c>
      <c r="D69" s="86">
        <v>42919</v>
      </c>
      <c r="E69" s="86">
        <v>43281</v>
      </c>
      <c r="F69" s="84">
        <v>159932.46</v>
      </c>
      <c r="G69" s="84">
        <v>199915.58</v>
      </c>
      <c r="H69" s="86">
        <v>42949</v>
      </c>
      <c r="I69" s="37">
        <v>199915.57499999998</v>
      </c>
      <c r="J69" s="71"/>
      <c r="L69" s="111"/>
      <c r="M69" s="111"/>
    </row>
    <row r="70" spans="1:13" ht="36" x14ac:dyDescent="0.25">
      <c r="A70" s="115">
        <v>28</v>
      </c>
      <c r="B70" s="87" t="s">
        <v>191</v>
      </c>
      <c r="C70" s="85" t="str">
        <f>"MFIN.KLA.406-01/16-03/01UR-15"</f>
        <v>MFIN.KLA.406-01/16-03/01UR-15</v>
      </c>
      <c r="D70" s="86">
        <v>42921</v>
      </c>
      <c r="E70" s="86">
        <v>43281</v>
      </c>
      <c r="F70" s="84">
        <v>929827.17</v>
      </c>
      <c r="G70" s="84">
        <v>1162283.96</v>
      </c>
      <c r="H70" s="86">
        <v>43100</v>
      </c>
      <c r="I70" s="37">
        <v>1162565.2875000001</v>
      </c>
      <c r="J70" s="71"/>
      <c r="L70" s="111"/>
      <c r="M70" s="111"/>
    </row>
    <row r="71" spans="1:13" ht="24" x14ac:dyDescent="0.25">
      <c r="A71" s="115">
        <v>29</v>
      </c>
      <c r="B71" s="87" t="s">
        <v>204</v>
      </c>
      <c r="C71" s="85" t="str">
        <f>"1/2016-17/74-4"</f>
        <v>1/2016-17/74-4</v>
      </c>
      <c r="D71" s="86">
        <v>42916</v>
      </c>
      <c r="E71" s="86">
        <v>43281</v>
      </c>
      <c r="F71" s="84">
        <v>907894.95</v>
      </c>
      <c r="G71" s="84">
        <v>1134868.69</v>
      </c>
      <c r="H71" s="86">
        <v>43100</v>
      </c>
      <c r="I71" s="37">
        <v>1138461.1125</v>
      </c>
      <c r="J71" s="71"/>
      <c r="L71" s="111"/>
      <c r="M71" s="111"/>
    </row>
    <row r="72" spans="1:13" ht="24" x14ac:dyDescent="0.25">
      <c r="A72" s="115">
        <v>30</v>
      </c>
      <c r="B72" s="87" t="s">
        <v>195</v>
      </c>
      <c r="C72" s="85" t="str">
        <f>"MUP-1/2016-2"</f>
        <v>MUP-1/2016-2</v>
      </c>
      <c r="D72" s="86">
        <v>42917</v>
      </c>
      <c r="E72" s="86">
        <v>43281</v>
      </c>
      <c r="F72" s="84">
        <v>7046508.4000000004</v>
      </c>
      <c r="G72" s="84">
        <v>8808135.5</v>
      </c>
      <c r="H72" s="86">
        <v>42917</v>
      </c>
      <c r="I72" s="37">
        <v>8808135.5</v>
      </c>
      <c r="J72" s="71"/>
      <c r="L72" s="111"/>
      <c r="M72" s="111"/>
    </row>
    <row r="73" spans="1:13" ht="24" x14ac:dyDescent="0.25">
      <c r="A73" s="115">
        <v>31</v>
      </c>
      <c r="B73" s="87" t="s">
        <v>193</v>
      </c>
      <c r="C73" s="85" t="str">
        <f>"55-17-16-2"</f>
        <v>55-17-16-2</v>
      </c>
      <c r="D73" s="86">
        <v>42914</v>
      </c>
      <c r="E73" s="86">
        <v>43281</v>
      </c>
      <c r="F73" s="84">
        <v>110291.7</v>
      </c>
      <c r="G73" s="84">
        <v>137864.63</v>
      </c>
      <c r="H73" s="86">
        <v>43100</v>
      </c>
      <c r="I73" s="37">
        <v>1021950.4875</v>
      </c>
      <c r="J73" s="71"/>
      <c r="L73" s="111"/>
      <c r="M73" s="111"/>
    </row>
    <row r="74" spans="1:13" ht="24" x14ac:dyDescent="0.25">
      <c r="A74" s="115">
        <v>32</v>
      </c>
      <c r="B74" s="87" t="s">
        <v>197</v>
      </c>
      <c r="C74" s="85" t="str">
        <f>"U049/17"</f>
        <v>U049/17</v>
      </c>
      <c r="D74" s="86">
        <v>42916</v>
      </c>
      <c r="E74" s="86">
        <v>42936</v>
      </c>
      <c r="F74" s="84">
        <v>700859.4</v>
      </c>
      <c r="G74" s="84">
        <v>876074.25</v>
      </c>
      <c r="H74" s="86">
        <v>42936</v>
      </c>
      <c r="I74" s="37">
        <v>876496.26249999995</v>
      </c>
      <c r="J74" s="71"/>
      <c r="L74" s="111"/>
      <c r="M74" s="111"/>
    </row>
    <row r="75" spans="1:13" ht="36" x14ac:dyDescent="0.25">
      <c r="A75" s="115">
        <v>33</v>
      </c>
      <c r="B75" s="87" t="s">
        <v>206</v>
      </c>
      <c r="C75" s="85" t="str">
        <f>"II GOD UGOVOR MC LICENCE"</f>
        <v>II GOD UGOVOR MC LICENCE</v>
      </c>
      <c r="D75" s="86">
        <v>42919</v>
      </c>
      <c r="E75" s="86">
        <v>43281</v>
      </c>
      <c r="F75" s="84">
        <v>135736.68</v>
      </c>
      <c r="G75" s="84">
        <v>169670.85</v>
      </c>
      <c r="H75" s="86">
        <v>43100</v>
      </c>
      <c r="I75" s="37">
        <v>169670.84999999998</v>
      </c>
      <c r="J75" s="71"/>
      <c r="L75" s="111"/>
      <c r="M75" s="111"/>
    </row>
    <row r="76" spans="1:13" x14ac:dyDescent="0.25">
      <c r="A76" s="115">
        <v>34</v>
      </c>
      <c r="B76" s="87" t="s">
        <v>212</v>
      </c>
      <c r="C76" s="85" t="str">
        <f>"64/2017"</f>
        <v>64/2017</v>
      </c>
      <c r="D76" s="86">
        <v>42917</v>
      </c>
      <c r="E76" s="86">
        <v>43281</v>
      </c>
      <c r="F76" s="84">
        <v>162621.24</v>
      </c>
      <c r="G76" s="84">
        <v>203276.55</v>
      </c>
      <c r="H76" s="86">
        <v>43100</v>
      </c>
      <c r="I76" s="37">
        <v>202290.53749999998</v>
      </c>
      <c r="J76" s="71"/>
      <c r="L76" s="111"/>
      <c r="M76" s="111"/>
    </row>
    <row r="77" spans="1:13" ht="24" x14ac:dyDescent="0.25">
      <c r="A77" s="115">
        <v>35</v>
      </c>
      <c r="B77" s="87" t="s">
        <v>201</v>
      </c>
      <c r="C77" s="85" t="str">
        <f>"1/2016 - 2.UGOVOR"</f>
        <v>1/2016 - 2.UGOVOR</v>
      </c>
      <c r="D77" s="86">
        <v>42944</v>
      </c>
      <c r="E77" s="86">
        <v>43281</v>
      </c>
      <c r="F77" s="84">
        <v>125580.86</v>
      </c>
      <c r="G77" s="84">
        <v>156976.07999999999</v>
      </c>
      <c r="H77" s="86">
        <v>43100</v>
      </c>
      <c r="I77" s="37">
        <v>156976.07500000001</v>
      </c>
      <c r="J77" s="71"/>
      <c r="L77" s="111"/>
      <c r="M77" s="111"/>
    </row>
    <row r="78" spans="1:13" ht="24" x14ac:dyDescent="0.25">
      <c r="A78" s="115">
        <v>36</v>
      </c>
      <c r="B78" s="87" t="s">
        <v>205</v>
      </c>
      <c r="C78" s="85" t="str">
        <f>"406-01/16-04/02"</f>
        <v>406-01/16-04/02</v>
      </c>
      <c r="D78" s="86">
        <v>42895</v>
      </c>
      <c r="E78" s="86">
        <v>43281</v>
      </c>
      <c r="F78" s="84">
        <v>344954</v>
      </c>
      <c r="G78" s="84">
        <v>431192.5</v>
      </c>
      <c r="H78" s="164"/>
      <c r="I78" s="166">
        <v>0</v>
      </c>
      <c r="J78" s="71"/>
      <c r="L78" s="111"/>
      <c r="M78" s="111"/>
    </row>
    <row r="79" spans="1:13" x14ac:dyDescent="0.25">
      <c r="A79" s="115">
        <v>37</v>
      </c>
      <c r="B79" s="87" t="s">
        <v>17</v>
      </c>
      <c r="C79" s="85" t="str">
        <f>"11-SUSJN717"</f>
        <v>11-SUSJN717</v>
      </c>
      <c r="D79" s="86">
        <v>42917</v>
      </c>
      <c r="E79" s="86">
        <v>43281</v>
      </c>
      <c r="F79" s="84">
        <v>12427529.58</v>
      </c>
      <c r="G79" s="84">
        <v>15534411.98</v>
      </c>
      <c r="H79" s="86">
        <v>43100</v>
      </c>
      <c r="I79" s="37">
        <v>15520138.85</v>
      </c>
      <c r="J79" s="71"/>
      <c r="L79" s="111"/>
      <c r="M79" s="111"/>
    </row>
    <row r="80" spans="1:13" ht="36" x14ac:dyDescent="0.25">
      <c r="A80" s="115">
        <v>38</v>
      </c>
      <c r="B80" s="87" t="s">
        <v>886</v>
      </c>
      <c r="C80" s="85" t="str">
        <f>"2.GODIŠNJI UGOVOR - DROGE"</f>
        <v>2.GODIŠNJI UGOVOR - DROGE</v>
      </c>
      <c r="D80" s="86">
        <v>42917</v>
      </c>
      <c r="E80" s="86">
        <v>43281</v>
      </c>
      <c r="F80" s="84">
        <v>0</v>
      </c>
      <c r="G80" s="84">
        <v>0</v>
      </c>
      <c r="H80" s="86">
        <v>43100</v>
      </c>
      <c r="I80" s="37">
        <v>6527</v>
      </c>
      <c r="J80" s="71"/>
      <c r="L80" s="111"/>
      <c r="M80" s="111"/>
    </row>
    <row r="81" spans="1:13" ht="36" x14ac:dyDescent="0.25">
      <c r="A81" s="115">
        <v>39</v>
      </c>
      <c r="B81" s="87" t="s">
        <v>899</v>
      </c>
      <c r="C81" s="85" t="str">
        <f>"2.GODIŠNJI UGOVOR-DIREKCIJA"</f>
        <v>2.GODIŠNJI UGOVOR-DIREKCIJA</v>
      </c>
      <c r="D81" s="86">
        <v>42917</v>
      </c>
      <c r="E81" s="86">
        <v>43281</v>
      </c>
      <c r="F81" s="84">
        <v>0</v>
      </c>
      <c r="G81" s="84">
        <v>0</v>
      </c>
      <c r="H81" s="86">
        <v>43100</v>
      </c>
      <c r="I81" s="37">
        <v>5730.25</v>
      </c>
      <c r="J81" s="71"/>
      <c r="L81" s="111"/>
      <c r="M81" s="111"/>
    </row>
    <row r="82" spans="1:13" ht="24" x14ac:dyDescent="0.25">
      <c r="A82" s="115">
        <v>40</v>
      </c>
      <c r="B82" s="87" t="s">
        <v>190</v>
      </c>
      <c r="C82" s="85" t="str">
        <f>"4102/2017"</f>
        <v>4102/2017</v>
      </c>
      <c r="D82" s="86">
        <v>42936</v>
      </c>
      <c r="E82" s="86">
        <v>43281</v>
      </c>
      <c r="F82" s="84">
        <v>252081.44</v>
      </c>
      <c r="G82" s="84">
        <v>315101.8</v>
      </c>
      <c r="H82" s="86">
        <v>43100</v>
      </c>
      <c r="I82" s="37">
        <v>310063.66249999998</v>
      </c>
      <c r="J82" s="71"/>
      <c r="L82" s="111"/>
      <c r="M82" s="111"/>
    </row>
    <row r="83" spans="1:13" ht="36" x14ac:dyDescent="0.25">
      <c r="A83" s="115">
        <v>41</v>
      </c>
      <c r="B83" s="87" t="s">
        <v>208</v>
      </c>
      <c r="C83" s="85" t="str">
        <f>"19/UZOP/2017"</f>
        <v>19/UZOP/2017</v>
      </c>
      <c r="D83" s="86">
        <v>42917</v>
      </c>
      <c r="E83" s="86">
        <v>43281</v>
      </c>
      <c r="F83" s="84">
        <v>0</v>
      </c>
      <c r="G83" s="84">
        <v>0</v>
      </c>
      <c r="H83" s="86">
        <v>43008</v>
      </c>
      <c r="I83" s="37">
        <v>100892.92499999999</v>
      </c>
      <c r="J83" s="71"/>
      <c r="L83" s="111"/>
      <c r="M83" s="111"/>
    </row>
    <row r="84" spans="1:13" ht="36" x14ac:dyDescent="0.25">
      <c r="A84" s="115">
        <v>42</v>
      </c>
      <c r="B84" s="87" t="s">
        <v>901</v>
      </c>
      <c r="C84" s="85" t="str">
        <f>"20/VRH PUTEM UZOP-A/2017"</f>
        <v>20/VRH PUTEM UZOP-A/2017</v>
      </c>
      <c r="D84" s="86">
        <v>42917</v>
      </c>
      <c r="E84" s="86">
        <v>43281</v>
      </c>
      <c r="F84" s="84">
        <v>0</v>
      </c>
      <c r="G84" s="84">
        <v>0</v>
      </c>
      <c r="H84" s="86">
        <v>43008</v>
      </c>
      <c r="I84" s="37">
        <v>280539.13750000001</v>
      </c>
      <c r="J84" s="72"/>
      <c r="L84" s="111"/>
      <c r="M84" s="111"/>
    </row>
    <row r="85" spans="1:13" ht="24" x14ac:dyDescent="0.25">
      <c r="A85" s="115">
        <v>43</v>
      </c>
      <c r="B85" s="87" t="s">
        <v>207</v>
      </c>
      <c r="C85" s="85" t="str">
        <f>"21/HS PUTEM UZOP-A/2017"</f>
        <v>21/HS PUTEM UZOP-A/2017</v>
      </c>
      <c r="D85" s="86">
        <v>42917</v>
      </c>
      <c r="E85" s="86">
        <v>43281</v>
      </c>
      <c r="F85" s="84">
        <v>0</v>
      </c>
      <c r="G85" s="84">
        <v>0</v>
      </c>
      <c r="H85" s="86">
        <v>43008</v>
      </c>
      <c r="I85" s="37">
        <v>277571.05</v>
      </c>
      <c r="J85" s="72"/>
      <c r="L85" s="111"/>
      <c r="M85" s="111"/>
    </row>
    <row r="86" spans="1:13" ht="48" x14ac:dyDescent="0.25">
      <c r="A86" s="115">
        <v>44</v>
      </c>
      <c r="B86" s="87" t="s">
        <v>938</v>
      </c>
      <c r="C86" s="85" t="str">
        <f>"DRUGI GODIŠNJI UGOVOR-RAVNOPR."</f>
        <v>DRUGI GODIŠNJI UGOVOR-RAVNOPR.</v>
      </c>
      <c r="D86" s="86">
        <v>42917</v>
      </c>
      <c r="E86" s="86">
        <v>43281</v>
      </c>
      <c r="F86" s="84">
        <v>0</v>
      </c>
      <c r="G86" s="84">
        <v>0</v>
      </c>
      <c r="H86" s="86">
        <v>43100</v>
      </c>
      <c r="I86" s="37">
        <v>2730.2999999999997</v>
      </c>
      <c r="J86" s="72"/>
      <c r="L86" s="111"/>
      <c r="M86" s="111"/>
    </row>
    <row r="87" spans="1:13" ht="36" x14ac:dyDescent="0.25">
      <c r="A87" s="115">
        <v>45</v>
      </c>
      <c r="B87" s="87" t="s">
        <v>935</v>
      </c>
      <c r="C87" s="85" t="str">
        <f>"2. GODIŠNJI UGOVOR - SAVJET"</f>
        <v>2. GODIŠNJI UGOVOR - SAVJET</v>
      </c>
      <c r="D87" s="86">
        <v>42917</v>
      </c>
      <c r="E87" s="86">
        <v>43281</v>
      </c>
      <c r="F87" s="84">
        <v>0</v>
      </c>
      <c r="G87" s="84">
        <v>0</v>
      </c>
      <c r="H87" s="86">
        <v>43100</v>
      </c>
      <c r="I87" s="37">
        <v>4895.25</v>
      </c>
      <c r="J87" s="72"/>
      <c r="L87" s="111"/>
      <c r="M87" s="111"/>
    </row>
    <row r="88" spans="1:13" ht="36" x14ac:dyDescent="0.25">
      <c r="A88" s="115">
        <v>46</v>
      </c>
      <c r="B88" s="87" t="s">
        <v>932</v>
      </c>
      <c r="C88" s="85" t="str">
        <f>"2. GODIŠNJI UGOVOR-LJUDSKA PRA"</f>
        <v>2. GODIŠNJI UGOVOR-LJUDSKA PRA</v>
      </c>
      <c r="D88" s="86">
        <v>42917</v>
      </c>
      <c r="E88" s="86">
        <v>43281</v>
      </c>
      <c r="F88" s="84">
        <v>0</v>
      </c>
      <c r="G88" s="84">
        <v>0</v>
      </c>
      <c r="H88" s="86">
        <v>43100</v>
      </c>
      <c r="I88" s="37">
        <v>21957.975000000002</v>
      </c>
      <c r="J88" s="72"/>
      <c r="L88" s="111"/>
      <c r="M88" s="111"/>
    </row>
    <row r="89" spans="1:13" ht="36" x14ac:dyDescent="0.25">
      <c r="A89" s="115">
        <v>47</v>
      </c>
      <c r="B89" s="87" t="s">
        <v>937</v>
      </c>
      <c r="C89" s="85" t="str">
        <f>"2. GODIŠNJI UGOVOR - RAZMINIRA"</f>
        <v>2. GODIŠNJI UGOVOR - RAZMINIRA</v>
      </c>
      <c r="D89" s="86">
        <v>42917</v>
      </c>
      <c r="E89" s="86">
        <v>43281</v>
      </c>
      <c r="F89" s="84">
        <v>0</v>
      </c>
      <c r="G89" s="84">
        <v>0</v>
      </c>
      <c r="H89" s="86">
        <v>43100</v>
      </c>
      <c r="I89" s="37">
        <v>16317.5</v>
      </c>
      <c r="J89" s="72"/>
      <c r="L89" s="111"/>
      <c r="M89" s="111"/>
    </row>
    <row r="90" spans="1:13" ht="36" x14ac:dyDescent="0.25">
      <c r="A90" s="115">
        <v>48</v>
      </c>
      <c r="B90" s="87" t="s">
        <v>942</v>
      </c>
      <c r="C90" s="85" t="str">
        <f>"2. GODIŠNJI UGOVOR-ZAKONOD"</f>
        <v>2. GODIŠNJI UGOVOR-ZAKONOD</v>
      </c>
      <c r="D90" s="86">
        <v>42917</v>
      </c>
      <c r="E90" s="86">
        <v>43281</v>
      </c>
      <c r="F90" s="84">
        <v>0</v>
      </c>
      <c r="G90" s="84">
        <v>0</v>
      </c>
      <c r="H90" s="86">
        <v>43100</v>
      </c>
      <c r="I90" s="37">
        <v>17880.3</v>
      </c>
      <c r="J90" s="71"/>
      <c r="L90" s="111"/>
      <c r="M90" s="111"/>
    </row>
    <row r="91" spans="1:13" ht="36" x14ac:dyDescent="0.25">
      <c r="A91" s="115">
        <v>49</v>
      </c>
      <c r="B91" s="87" t="s">
        <v>936</v>
      </c>
      <c r="C91" s="85" t="str">
        <f>"2. GODIŠNJI UGOVOR-UDRUGE"</f>
        <v>2. GODIŠNJI UGOVOR-UDRUGE</v>
      </c>
      <c r="D91" s="86">
        <v>42917</v>
      </c>
      <c r="E91" s="86">
        <v>43281</v>
      </c>
      <c r="F91" s="84">
        <v>0</v>
      </c>
      <c r="G91" s="84">
        <v>0</v>
      </c>
      <c r="H91" s="86">
        <v>43100</v>
      </c>
      <c r="I91" s="37">
        <v>73689.537499999991</v>
      </c>
      <c r="J91" s="71"/>
      <c r="L91" s="111"/>
      <c r="M91" s="111"/>
    </row>
    <row r="92" spans="1:13" ht="36" x14ac:dyDescent="0.25">
      <c r="A92" s="115">
        <v>50</v>
      </c>
      <c r="B92" s="87" t="s">
        <v>900</v>
      </c>
      <c r="C92" s="85" t="str">
        <f>"2. GODIŠNJI UGOVOR - ZASTUPNIC"</f>
        <v>2. GODIŠNJI UGOVOR - ZASTUPNIC</v>
      </c>
      <c r="D92" s="86">
        <v>42917</v>
      </c>
      <c r="E92" s="86">
        <v>43281</v>
      </c>
      <c r="F92" s="84">
        <v>0</v>
      </c>
      <c r="G92" s="84">
        <v>0</v>
      </c>
      <c r="H92" s="86">
        <v>43100</v>
      </c>
      <c r="I92" s="55">
        <v>8158</v>
      </c>
      <c r="J92" s="1"/>
      <c r="L92" s="111"/>
      <c r="M92" s="111"/>
    </row>
    <row r="93" spans="1:13" ht="36" x14ac:dyDescent="0.25">
      <c r="A93" s="115">
        <v>51</v>
      </c>
      <c r="B93" s="87" t="s">
        <v>943</v>
      </c>
      <c r="C93" s="85" t="str">
        <f>"2.GODIŠNJI UGOVOR-PROTOKOL"</f>
        <v>2.GODIŠNJI UGOVOR-PROTOKOL</v>
      </c>
      <c r="D93" s="86">
        <v>42917</v>
      </c>
      <c r="E93" s="86">
        <v>43281</v>
      </c>
      <c r="F93" s="84">
        <v>0</v>
      </c>
      <c r="G93" s="84">
        <v>0</v>
      </c>
      <c r="H93" s="86">
        <v>43100</v>
      </c>
      <c r="I93" s="55">
        <v>6527</v>
      </c>
      <c r="J93" s="1"/>
      <c r="L93" s="111"/>
      <c r="M93" s="111"/>
    </row>
    <row r="94" spans="1:13" ht="36" x14ac:dyDescent="0.25">
      <c r="A94" s="115">
        <v>52</v>
      </c>
      <c r="B94" s="87" t="s">
        <v>934</v>
      </c>
      <c r="C94" s="85" t="str">
        <f>"2.GODIŠNJI UGOVOR - REVIZIJA"</f>
        <v>2.GODIŠNJI UGOVOR - REVIZIJA</v>
      </c>
      <c r="D94" s="86">
        <v>42917</v>
      </c>
      <c r="E94" s="86">
        <v>43281</v>
      </c>
      <c r="F94" s="84">
        <v>0</v>
      </c>
      <c r="G94" s="84">
        <v>0</v>
      </c>
      <c r="H94" s="86">
        <v>43100</v>
      </c>
      <c r="I94" s="55">
        <v>19512.05</v>
      </c>
      <c r="J94" s="1"/>
      <c r="L94" s="111"/>
      <c r="M94" s="111"/>
    </row>
    <row r="95" spans="1:13" ht="24" x14ac:dyDescent="0.25">
      <c r="A95" s="115">
        <v>53</v>
      </c>
      <c r="B95" s="87" t="s">
        <v>185</v>
      </c>
      <c r="C95" s="85" t="str">
        <f>"1/2016 UGOVOR"</f>
        <v>1/2016 UGOVOR</v>
      </c>
      <c r="D95" s="86">
        <v>42914</v>
      </c>
      <c r="E95" s="86">
        <v>43281</v>
      </c>
      <c r="F95" s="84">
        <v>387512.34</v>
      </c>
      <c r="G95" s="84">
        <v>484390.43</v>
      </c>
      <c r="H95" s="164"/>
      <c r="I95" s="168">
        <v>0</v>
      </c>
      <c r="J95" s="1"/>
      <c r="L95" s="111"/>
      <c r="M95" s="111"/>
    </row>
    <row r="96" spans="1:13" x14ac:dyDescent="0.25">
      <c r="A96" s="115">
        <v>54</v>
      </c>
      <c r="B96" s="87" t="s">
        <v>204</v>
      </c>
      <c r="C96" s="85" t="str">
        <f>"17R0000272"</f>
        <v>17R0000272</v>
      </c>
      <c r="D96" s="86">
        <v>42837</v>
      </c>
      <c r="E96" s="86">
        <v>42916</v>
      </c>
      <c r="F96" s="84">
        <v>21415.01</v>
      </c>
      <c r="G96" s="84">
        <v>26768.76</v>
      </c>
      <c r="H96" s="86">
        <v>42916</v>
      </c>
      <c r="I96" s="55">
        <v>26814.375</v>
      </c>
      <c r="J96" s="1"/>
      <c r="L96" s="111"/>
      <c r="M96" s="111"/>
    </row>
    <row r="97" spans="1:13" ht="24" x14ac:dyDescent="0.25">
      <c r="A97" s="115">
        <v>55</v>
      </c>
      <c r="B97" s="87" t="s">
        <v>201</v>
      </c>
      <c r="C97" s="85" t="str">
        <f>"1/2016-1.UG"</f>
        <v>1/2016-1.UG</v>
      </c>
      <c r="D97" s="86">
        <v>42699</v>
      </c>
      <c r="E97" s="86">
        <v>42916</v>
      </c>
      <c r="F97" s="84">
        <v>127754.96</v>
      </c>
      <c r="G97" s="84">
        <v>159693.70000000001</v>
      </c>
      <c r="H97" s="86">
        <v>43008</v>
      </c>
      <c r="I97" s="55">
        <v>159693.70000000001</v>
      </c>
      <c r="J97" s="1"/>
      <c r="L97" s="111"/>
      <c r="M97" s="111"/>
    </row>
    <row r="98" spans="1:13" ht="24" x14ac:dyDescent="0.25">
      <c r="A98" s="115">
        <v>56</v>
      </c>
      <c r="B98" s="87" t="s">
        <v>18</v>
      </c>
      <c r="C98" s="85" t="str">
        <f>"SNUG-204-16-0077"</f>
        <v>SNUG-204-16-0077</v>
      </c>
      <c r="D98" s="86">
        <v>42712</v>
      </c>
      <c r="E98" s="86">
        <v>43077</v>
      </c>
      <c r="F98" s="84">
        <v>2320000</v>
      </c>
      <c r="G98" s="84">
        <v>2900000</v>
      </c>
      <c r="H98" s="86">
        <v>43100</v>
      </c>
      <c r="I98" s="55">
        <v>2641671.4124999996</v>
      </c>
      <c r="J98" s="1"/>
      <c r="L98" s="111"/>
      <c r="M98" s="111"/>
    </row>
    <row r="99" spans="1:13" ht="24" x14ac:dyDescent="0.25">
      <c r="A99" s="115">
        <v>57</v>
      </c>
      <c r="B99" s="87" t="s">
        <v>17</v>
      </c>
      <c r="C99" s="85" t="str">
        <f>"KLASA : 406-02/16-03/21"</f>
        <v>KLASA : 406-02/16-03/21</v>
      </c>
      <c r="D99" s="86">
        <v>42716</v>
      </c>
      <c r="E99" s="86">
        <v>42916</v>
      </c>
      <c r="F99" s="84">
        <v>12135292.08</v>
      </c>
      <c r="G99" s="84">
        <v>15169115.1</v>
      </c>
      <c r="H99" s="86">
        <v>43100</v>
      </c>
      <c r="I99" s="55">
        <v>15169115.1</v>
      </c>
      <c r="J99" s="1"/>
      <c r="L99" s="111"/>
      <c r="M99" s="111"/>
    </row>
    <row r="100" spans="1:13" ht="24" x14ac:dyDescent="0.25">
      <c r="A100" s="115">
        <v>58</v>
      </c>
      <c r="B100" s="87" t="s">
        <v>190</v>
      </c>
      <c r="C100" s="85" t="str">
        <f>"6102/2016"</f>
        <v>6102/2016</v>
      </c>
      <c r="D100" s="86">
        <v>42718</v>
      </c>
      <c r="E100" s="86">
        <v>43082</v>
      </c>
      <c r="F100" s="84">
        <v>252081.44</v>
      </c>
      <c r="G100" s="84">
        <v>315101.8</v>
      </c>
      <c r="H100" s="86">
        <v>43082</v>
      </c>
      <c r="I100" s="55">
        <v>315196.67499999999</v>
      </c>
      <c r="J100" s="1"/>
      <c r="L100" s="111"/>
      <c r="M100" s="111"/>
    </row>
    <row r="101" spans="1:13" ht="24" x14ac:dyDescent="0.25">
      <c r="A101" s="115">
        <v>59</v>
      </c>
      <c r="B101" s="87" t="s">
        <v>185</v>
      </c>
      <c r="C101" s="85" t="str">
        <f>"1/2016 UGOVOR"</f>
        <v>1/2016 UGOVOR</v>
      </c>
      <c r="D101" s="86">
        <v>42706</v>
      </c>
      <c r="E101" s="86">
        <v>42916</v>
      </c>
      <c r="F101" s="84">
        <v>393975.75</v>
      </c>
      <c r="G101" s="84">
        <v>492469.69</v>
      </c>
      <c r="H101" s="86">
        <v>42916</v>
      </c>
      <c r="I101" s="55">
        <v>492469.6875</v>
      </c>
      <c r="J101" s="1"/>
      <c r="L101" s="111"/>
      <c r="M101" s="111"/>
    </row>
    <row r="102" spans="1:13" ht="24" x14ac:dyDescent="0.25">
      <c r="A102" s="115">
        <v>60</v>
      </c>
      <c r="B102" s="87" t="s">
        <v>186</v>
      </c>
      <c r="C102" s="85" t="str">
        <f>"406-01/16-01/0181"</f>
        <v>406-01/16-01/0181</v>
      </c>
      <c r="D102" s="86">
        <v>42705</v>
      </c>
      <c r="E102" s="86">
        <v>42916</v>
      </c>
      <c r="F102" s="84">
        <v>1854631.82</v>
      </c>
      <c r="G102" s="84">
        <v>2318289.7799999998</v>
      </c>
      <c r="H102" s="86">
        <v>42916</v>
      </c>
      <c r="I102" s="55">
        <v>2326941.625</v>
      </c>
      <c r="J102" s="1"/>
      <c r="L102" s="111"/>
      <c r="M102" s="111"/>
    </row>
    <row r="103" spans="1:13" x14ac:dyDescent="0.25">
      <c r="A103" s="115">
        <v>61</v>
      </c>
      <c r="B103" s="87" t="s">
        <v>700</v>
      </c>
      <c r="C103" s="85" t="str">
        <f>"1/2016"</f>
        <v>1/2016</v>
      </c>
      <c r="D103" s="86">
        <v>42698</v>
      </c>
      <c r="E103" s="86">
        <v>42916</v>
      </c>
      <c r="F103" s="84">
        <v>184263.57</v>
      </c>
      <c r="G103" s="84">
        <v>230329.46</v>
      </c>
      <c r="H103" s="86">
        <v>42916</v>
      </c>
      <c r="I103" s="55">
        <v>230329.46250000002</v>
      </c>
      <c r="J103" s="1"/>
      <c r="L103" s="111"/>
      <c r="M103" s="111"/>
    </row>
    <row r="104" spans="1:13" ht="24" x14ac:dyDescent="0.25">
      <c r="A104" s="115">
        <v>62</v>
      </c>
      <c r="B104" s="87" t="s">
        <v>548</v>
      </c>
      <c r="C104" s="85" t="str">
        <f>"427-10-01-16-1280/01"</f>
        <v>427-10-01-16-1280/01</v>
      </c>
      <c r="D104" s="86">
        <v>42695</v>
      </c>
      <c r="E104" s="86">
        <v>42916</v>
      </c>
      <c r="F104" s="84">
        <v>29007.15</v>
      </c>
      <c r="G104" s="84">
        <v>36258.94</v>
      </c>
      <c r="H104" s="86">
        <v>42916</v>
      </c>
      <c r="I104" s="55">
        <v>268614.07500000001</v>
      </c>
      <c r="J104" s="1"/>
      <c r="L104" s="111"/>
      <c r="M104" s="111"/>
    </row>
    <row r="105" spans="1:13" ht="24" x14ac:dyDescent="0.25">
      <c r="A105" s="115">
        <v>63</v>
      </c>
      <c r="B105" s="87" t="s">
        <v>940</v>
      </c>
      <c r="C105" s="85" t="str">
        <f>"HZZ MS LICENCA 2016"</f>
        <v>HZZ MS LICENCA 2016</v>
      </c>
      <c r="D105" s="86">
        <v>42705</v>
      </c>
      <c r="E105" s="86">
        <v>42916</v>
      </c>
      <c r="F105" s="84">
        <v>1589617.08</v>
      </c>
      <c r="G105" s="84">
        <v>1987021.35</v>
      </c>
      <c r="H105" s="86">
        <v>42916</v>
      </c>
      <c r="I105" s="55">
        <v>1987021.35</v>
      </c>
      <c r="J105" s="1"/>
      <c r="L105" s="111"/>
      <c r="M105" s="111"/>
    </row>
    <row r="106" spans="1:13" ht="24" x14ac:dyDescent="0.25">
      <c r="A106" s="115">
        <v>64</v>
      </c>
      <c r="B106" s="87" t="s">
        <v>195</v>
      </c>
      <c r="C106" s="85" t="str">
        <f>"76887/16"</f>
        <v>76887/16</v>
      </c>
      <c r="D106" s="86">
        <v>42717</v>
      </c>
      <c r="E106" s="86">
        <v>42916</v>
      </c>
      <c r="F106" s="84">
        <v>6670153.2199999997</v>
      </c>
      <c r="G106" s="84">
        <v>8337691.5300000003</v>
      </c>
      <c r="H106" s="86">
        <v>42916</v>
      </c>
      <c r="I106" s="55">
        <v>8337691.5249999994</v>
      </c>
      <c r="J106" s="1"/>
      <c r="L106" s="111"/>
      <c r="M106" s="111"/>
    </row>
    <row r="107" spans="1:13" ht="24" x14ac:dyDescent="0.25">
      <c r="A107" s="115">
        <v>65</v>
      </c>
      <c r="B107" s="87" t="s">
        <v>196</v>
      </c>
      <c r="C107" s="85" t="str">
        <f>"MGPU-1/2016"</f>
        <v>MGPU-1/2016</v>
      </c>
      <c r="D107" s="86">
        <v>42706</v>
      </c>
      <c r="E107" s="86">
        <v>42916</v>
      </c>
      <c r="F107" s="84">
        <v>478926.14</v>
      </c>
      <c r="G107" s="84">
        <v>598657.68000000005</v>
      </c>
      <c r="H107" s="86">
        <v>42916</v>
      </c>
      <c r="I107" s="55">
        <v>598657.67500000005</v>
      </c>
      <c r="J107" s="1"/>
      <c r="L107" s="111"/>
      <c r="M107" s="111"/>
    </row>
    <row r="108" spans="1:13" ht="24" x14ac:dyDescent="0.25">
      <c r="A108" s="115">
        <v>66</v>
      </c>
      <c r="B108" s="87" t="s">
        <v>187</v>
      </c>
      <c r="C108" s="85" t="str">
        <f>"802/02-16/OS-1-U1"</f>
        <v>802/02-16/OS-1-U1</v>
      </c>
      <c r="D108" s="86">
        <v>42704</v>
      </c>
      <c r="E108" s="86">
        <v>42916</v>
      </c>
      <c r="F108" s="84">
        <v>27518.400000000001</v>
      </c>
      <c r="G108" s="84">
        <v>34398</v>
      </c>
      <c r="H108" s="86">
        <v>42916</v>
      </c>
      <c r="I108" s="55">
        <v>259003.5</v>
      </c>
      <c r="J108" s="1"/>
      <c r="L108" s="111"/>
      <c r="M108" s="111"/>
    </row>
    <row r="109" spans="1:13" ht="24" x14ac:dyDescent="0.25">
      <c r="A109" s="115">
        <v>67</v>
      </c>
      <c r="B109" s="87" t="s">
        <v>204</v>
      </c>
      <c r="C109" s="85" t="str">
        <f>"1/2016-16/115-2"</f>
        <v>1/2016-16/115-2</v>
      </c>
      <c r="D109" s="86">
        <v>42703</v>
      </c>
      <c r="E109" s="86">
        <v>42916</v>
      </c>
      <c r="F109" s="84">
        <v>792366.78</v>
      </c>
      <c r="G109" s="84">
        <v>990458.48</v>
      </c>
      <c r="H109" s="86">
        <v>42916</v>
      </c>
      <c r="I109" s="55">
        <v>991015.8125</v>
      </c>
      <c r="J109" s="1"/>
      <c r="L109" s="111"/>
      <c r="M109" s="111"/>
    </row>
    <row r="110" spans="1:13" x14ac:dyDescent="0.25">
      <c r="A110" s="115">
        <v>68</v>
      </c>
      <c r="B110" s="87" t="s">
        <v>198</v>
      </c>
      <c r="C110" s="85" t="str">
        <f>"P/14692610"</f>
        <v>P/14692610</v>
      </c>
      <c r="D110" s="86">
        <v>42719</v>
      </c>
      <c r="E110" s="86">
        <v>42916</v>
      </c>
      <c r="F110" s="84">
        <v>4133000</v>
      </c>
      <c r="G110" s="84">
        <v>5166250</v>
      </c>
      <c r="H110" s="86">
        <v>42916</v>
      </c>
      <c r="I110" s="55">
        <v>5186459.4749999996</v>
      </c>
      <c r="J110" s="1"/>
      <c r="L110" s="111"/>
      <c r="M110" s="111"/>
    </row>
    <row r="111" spans="1:13" ht="24" x14ac:dyDescent="0.25">
      <c r="A111" s="115">
        <v>69</v>
      </c>
      <c r="B111" s="87" t="s">
        <v>194</v>
      </c>
      <c r="C111" s="85" t="str">
        <f>"69/16"</f>
        <v>69/16</v>
      </c>
      <c r="D111" s="86">
        <v>42711</v>
      </c>
      <c r="E111" s="86">
        <v>42916</v>
      </c>
      <c r="F111" s="84">
        <v>3883522.59</v>
      </c>
      <c r="G111" s="84">
        <v>4854403.24</v>
      </c>
      <c r="H111" s="86">
        <v>43100</v>
      </c>
      <c r="I111" s="55">
        <v>4854403.2374999998</v>
      </c>
      <c r="J111" s="1"/>
      <c r="L111" s="111"/>
      <c r="M111" s="111"/>
    </row>
    <row r="112" spans="1:13" ht="36" x14ac:dyDescent="0.25">
      <c r="A112" s="115">
        <v>70</v>
      </c>
      <c r="B112" s="87" t="s">
        <v>188</v>
      </c>
      <c r="C112" s="85" t="str">
        <f>"1/2016-16/17"</f>
        <v>1/2016-16/17</v>
      </c>
      <c r="D112" s="86">
        <v>42723</v>
      </c>
      <c r="E112" s="86">
        <v>42916</v>
      </c>
      <c r="F112" s="84">
        <v>48713.08</v>
      </c>
      <c r="G112" s="84">
        <v>60891.35</v>
      </c>
      <c r="H112" s="86">
        <v>42916</v>
      </c>
      <c r="I112" s="55">
        <v>29754.775000000001</v>
      </c>
      <c r="J112" s="1"/>
      <c r="L112" s="111"/>
      <c r="M112" s="111"/>
    </row>
    <row r="113" spans="1:13" ht="24" x14ac:dyDescent="0.25">
      <c r="A113" s="115">
        <v>71</v>
      </c>
      <c r="B113" s="87" t="s">
        <v>944</v>
      </c>
      <c r="C113" s="85" t="str">
        <f>"HALMED - LICENCE"</f>
        <v>HALMED - LICENCE</v>
      </c>
      <c r="D113" s="86">
        <v>42699</v>
      </c>
      <c r="E113" s="86">
        <v>42916</v>
      </c>
      <c r="F113" s="84">
        <v>499455.28</v>
      </c>
      <c r="G113" s="84">
        <v>624319.1</v>
      </c>
      <c r="H113" s="86">
        <v>42700</v>
      </c>
      <c r="I113" s="55">
        <v>624319.10000000009</v>
      </c>
      <c r="J113" s="1"/>
      <c r="L113" s="111"/>
      <c r="M113" s="111"/>
    </row>
    <row r="114" spans="1:13" ht="24" x14ac:dyDescent="0.25">
      <c r="A114" s="115">
        <v>72</v>
      </c>
      <c r="B114" s="87" t="s">
        <v>197</v>
      </c>
      <c r="C114" s="85" t="str">
        <f>"U122/16"</f>
        <v>U122/16</v>
      </c>
      <c r="D114" s="86">
        <v>42704</v>
      </c>
      <c r="E114" s="86">
        <v>42916</v>
      </c>
      <c r="F114" s="84">
        <v>712043.09</v>
      </c>
      <c r="G114" s="84">
        <v>890053.86</v>
      </c>
      <c r="H114" s="86">
        <v>42916</v>
      </c>
      <c r="I114" s="55">
        <v>890053.86249999993</v>
      </c>
      <c r="J114" s="1"/>
      <c r="L114" s="111"/>
      <c r="M114" s="111"/>
    </row>
    <row r="115" spans="1:13" ht="24" x14ac:dyDescent="0.25">
      <c r="A115" s="115">
        <v>73</v>
      </c>
      <c r="B115" s="87" t="s">
        <v>206</v>
      </c>
      <c r="C115" s="85" t="str">
        <f>"MC LICENCE"</f>
        <v>MC LICENCE</v>
      </c>
      <c r="D115" s="86">
        <v>42703</v>
      </c>
      <c r="E115" s="86">
        <v>42916</v>
      </c>
      <c r="F115" s="84">
        <v>137632.70000000001</v>
      </c>
      <c r="G115" s="84">
        <v>172040.88</v>
      </c>
      <c r="H115" s="86">
        <v>42916</v>
      </c>
      <c r="I115" s="55">
        <v>172040.875</v>
      </c>
      <c r="J115" s="1"/>
      <c r="L115" s="111"/>
      <c r="M115" s="111"/>
    </row>
    <row r="116" spans="1:13" ht="24" x14ac:dyDescent="0.25">
      <c r="A116" s="115">
        <v>74</v>
      </c>
      <c r="B116" s="87" t="s">
        <v>945</v>
      </c>
      <c r="C116" s="85" t="str">
        <f>"HINA 1/2016"</f>
        <v>HINA 1/2016</v>
      </c>
      <c r="D116" s="86">
        <v>42704</v>
      </c>
      <c r="E116" s="86">
        <v>42916</v>
      </c>
      <c r="F116" s="84">
        <v>127096.06</v>
      </c>
      <c r="G116" s="84">
        <v>158870.07999999999</v>
      </c>
      <c r="H116" s="86">
        <v>42705</v>
      </c>
      <c r="I116" s="55">
        <v>158870.07500000001</v>
      </c>
      <c r="J116" s="1"/>
      <c r="L116" s="111"/>
      <c r="M116" s="111"/>
    </row>
    <row r="117" spans="1:13" x14ac:dyDescent="0.25">
      <c r="A117" s="115">
        <v>75</v>
      </c>
      <c r="B117" s="87" t="s">
        <v>632</v>
      </c>
      <c r="C117" s="85" t="str">
        <f>"16/2"</f>
        <v>16/2</v>
      </c>
      <c r="D117" s="86">
        <v>42695</v>
      </c>
      <c r="E117" s="86">
        <v>42917</v>
      </c>
      <c r="F117" s="84">
        <v>162693.74</v>
      </c>
      <c r="G117" s="84">
        <v>203367.18</v>
      </c>
      <c r="H117" s="86">
        <v>42917</v>
      </c>
      <c r="I117" s="55">
        <v>203367.17499999999</v>
      </c>
      <c r="J117" s="1"/>
      <c r="L117" s="111"/>
      <c r="M117" s="111"/>
    </row>
    <row r="118" spans="1:13" x14ac:dyDescent="0.25">
      <c r="A118" s="115">
        <v>76</v>
      </c>
      <c r="B118" s="87" t="s">
        <v>546</v>
      </c>
      <c r="C118" s="85" t="str">
        <f>"0985/2016"</f>
        <v>0985/2016</v>
      </c>
      <c r="D118" s="86">
        <v>42706</v>
      </c>
      <c r="E118" s="86">
        <v>42916</v>
      </c>
      <c r="F118" s="84">
        <v>19970.68</v>
      </c>
      <c r="G118" s="84">
        <v>24963.35</v>
      </c>
      <c r="H118" s="86">
        <v>42916</v>
      </c>
      <c r="I118" s="55">
        <v>24963.35</v>
      </c>
      <c r="J118" s="1"/>
      <c r="L118" s="111"/>
      <c r="M118" s="111"/>
    </row>
    <row r="119" spans="1:13" ht="36" x14ac:dyDescent="0.25">
      <c r="A119" s="115">
        <v>77</v>
      </c>
      <c r="B119" s="87" t="s">
        <v>946</v>
      </c>
      <c r="C119" s="85" t="str">
        <f>"HAKOM 1/2016"</f>
        <v>HAKOM 1/2016</v>
      </c>
      <c r="D119" s="86">
        <v>42698</v>
      </c>
      <c r="E119" s="86">
        <v>42916</v>
      </c>
      <c r="F119" s="84">
        <v>297098.32</v>
      </c>
      <c r="G119" s="84">
        <v>371372.9</v>
      </c>
      <c r="H119" s="86">
        <v>42700</v>
      </c>
      <c r="I119" s="55">
        <v>371372.9</v>
      </c>
      <c r="J119" s="1"/>
      <c r="L119" s="111"/>
      <c r="M119" s="111"/>
    </row>
    <row r="120" spans="1:13" ht="24" x14ac:dyDescent="0.25">
      <c r="A120" s="115">
        <v>78</v>
      </c>
      <c r="B120" s="87" t="s">
        <v>467</v>
      </c>
      <c r="C120" s="85" t="str">
        <f>"URBROJ: 383-16-1"</f>
        <v>URBROJ: 383-16-1</v>
      </c>
      <c r="D120" s="86">
        <v>42702</v>
      </c>
      <c r="E120" s="86">
        <v>42916</v>
      </c>
      <c r="F120" s="84">
        <v>29952.42</v>
      </c>
      <c r="G120" s="84">
        <v>37440.53</v>
      </c>
      <c r="H120" s="86">
        <v>42916</v>
      </c>
      <c r="I120" s="55">
        <v>37440.524999999994</v>
      </c>
      <c r="J120" s="1"/>
      <c r="L120" s="111"/>
      <c r="M120" s="111"/>
    </row>
    <row r="121" spans="1:13" ht="24" x14ac:dyDescent="0.25">
      <c r="A121" s="115">
        <v>79</v>
      </c>
      <c r="B121" s="87" t="s">
        <v>893</v>
      </c>
      <c r="C121" s="85" t="str">
        <f>"HZMO 1/2016"</f>
        <v>HZMO 1/2016</v>
      </c>
      <c r="D121" s="86">
        <v>42688</v>
      </c>
      <c r="E121" s="86">
        <v>42916</v>
      </c>
      <c r="F121" s="84">
        <v>2922520.61</v>
      </c>
      <c r="G121" s="84">
        <v>3653150.76</v>
      </c>
      <c r="H121" s="86">
        <v>42916</v>
      </c>
      <c r="I121" s="55">
        <v>3653150.7624999997</v>
      </c>
      <c r="J121" s="1"/>
      <c r="L121" s="111"/>
      <c r="M121" s="111"/>
    </row>
    <row r="122" spans="1:13" ht="24" x14ac:dyDescent="0.25">
      <c r="A122" s="115">
        <v>80</v>
      </c>
      <c r="B122" s="87" t="s">
        <v>199</v>
      </c>
      <c r="C122" s="85" t="str">
        <f>"1/2016-MHB"</f>
        <v>1/2016-MHB</v>
      </c>
      <c r="D122" s="86">
        <v>42696</v>
      </c>
      <c r="E122" s="86">
        <v>42916</v>
      </c>
      <c r="F122" s="84">
        <v>138668.01</v>
      </c>
      <c r="G122" s="84">
        <v>173335.01</v>
      </c>
      <c r="H122" s="86">
        <v>43100</v>
      </c>
      <c r="I122" s="55">
        <v>343744.22499999998</v>
      </c>
      <c r="J122" s="1"/>
      <c r="L122" s="111"/>
      <c r="M122" s="111"/>
    </row>
    <row r="123" spans="1:13" x14ac:dyDescent="0.25">
      <c r="A123" s="115">
        <v>81</v>
      </c>
      <c r="B123" s="87" t="s">
        <v>278</v>
      </c>
      <c r="C123" s="85" t="str">
        <f>"169/2016"</f>
        <v>169/2016</v>
      </c>
      <c r="D123" s="86">
        <v>42709</v>
      </c>
      <c r="E123" s="86">
        <v>42916</v>
      </c>
      <c r="F123" s="84">
        <v>282898</v>
      </c>
      <c r="G123" s="84">
        <v>353622.5</v>
      </c>
      <c r="H123" s="86">
        <v>42916</v>
      </c>
      <c r="I123" s="55">
        <v>2662659.2749999999</v>
      </c>
      <c r="J123" s="1"/>
      <c r="L123" s="111"/>
      <c r="M123" s="111"/>
    </row>
    <row r="124" spans="1:13" ht="36" x14ac:dyDescent="0.25">
      <c r="A124" s="115">
        <v>82</v>
      </c>
      <c r="B124" s="87" t="s">
        <v>208</v>
      </c>
      <c r="C124" s="85" t="str">
        <f>"50/UZOP/2016"</f>
        <v>50/UZOP/2016</v>
      </c>
      <c r="D124" s="86">
        <v>42718</v>
      </c>
      <c r="E124" s="86">
        <v>42916</v>
      </c>
      <c r="F124" s="84">
        <v>81271.289999999994</v>
      </c>
      <c r="G124" s="84">
        <v>101589.11</v>
      </c>
      <c r="H124" s="86">
        <v>42916</v>
      </c>
      <c r="I124" s="55">
        <v>101589.11249999999</v>
      </c>
      <c r="J124" s="1"/>
      <c r="L124" s="111"/>
      <c r="M124" s="111"/>
    </row>
    <row r="125" spans="1:13" ht="24" x14ac:dyDescent="0.25">
      <c r="A125" s="115">
        <v>83</v>
      </c>
      <c r="B125" s="87" t="s">
        <v>207</v>
      </c>
      <c r="C125" s="85" t="str">
        <f>"52/HS PUTEM UZOP-A/2016"</f>
        <v>52/HS PUTEM UZOP-A/2016</v>
      </c>
      <c r="D125" s="86">
        <v>42718</v>
      </c>
      <c r="E125" s="86">
        <v>42916</v>
      </c>
      <c r="F125" s="84">
        <v>223558.92</v>
      </c>
      <c r="G125" s="84">
        <v>279448.65000000002</v>
      </c>
      <c r="H125" s="86">
        <v>42916</v>
      </c>
      <c r="I125" s="55">
        <v>279448.65000000002</v>
      </c>
      <c r="J125" s="1"/>
      <c r="L125" s="111"/>
      <c r="M125" s="111"/>
    </row>
    <row r="126" spans="1:13" ht="36" x14ac:dyDescent="0.25">
      <c r="A126" s="115">
        <v>84</v>
      </c>
      <c r="B126" s="87" t="s">
        <v>901</v>
      </c>
      <c r="C126" s="85" t="str">
        <f>"51/VRH PUTEM UZOP-A/2016"</f>
        <v>51/VRH PUTEM UZOP-A/2016</v>
      </c>
      <c r="D126" s="86">
        <v>42718</v>
      </c>
      <c r="E126" s="86">
        <v>42916</v>
      </c>
      <c r="F126" s="84">
        <v>225980.19</v>
      </c>
      <c r="G126" s="84">
        <v>282475.24</v>
      </c>
      <c r="H126" s="86">
        <v>42916</v>
      </c>
      <c r="I126" s="55">
        <v>282475.23749999999</v>
      </c>
      <c r="J126" s="1"/>
      <c r="L126" s="111"/>
      <c r="M126" s="111"/>
    </row>
    <row r="127" spans="1:13" ht="36" x14ac:dyDescent="0.25">
      <c r="A127" s="115">
        <v>85</v>
      </c>
      <c r="B127" s="87" t="s">
        <v>899</v>
      </c>
      <c r="C127" s="85" t="str">
        <f>"MS LIC - DIREKCIJA - 2016"</f>
        <v>MS LIC - DIREKCIJA - 2016</v>
      </c>
      <c r="D127" s="86">
        <v>42695</v>
      </c>
      <c r="E127" s="86">
        <v>42916</v>
      </c>
      <c r="F127" s="84">
        <v>4662.92</v>
      </c>
      <c r="G127" s="84">
        <v>5828.65</v>
      </c>
      <c r="H127" s="86">
        <v>42916</v>
      </c>
      <c r="I127" s="55">
        <v>5828.65</v>
      </c>
      <c r="J127" s="1"/>
      <c r="L127" s="111"/>
      <c r="M127" s="111"/>
    </row>
    <row r="128" spans="1:13" ht="36" x14ac:dyDescent="0.25">
      <c r="A128" s="115">
        <v>86</v>
      </c>
      <c r="B128" s="87" t="s">
        <v>947</v>
      </c>
      <c r="C128" s="85" t="str">
        <f>"MS LIC - DIP - 2016"</f>
        <v>MS LIC - DIP - 2016</v>
      </c>
      <c r="D128" s="86">
        <v>42720</v>
      </c>
      <c r="E128" s="86">
        <v>42916</v>
      </c>
      <c r="F128" s="84">
        <v>70838.75</v>
      </c>
      <c r="G128" s="84">
        <v>88548.44</v>
      </c>
      <c r="H128" s="86">
        <v>42916</v>
      </c>
      <c r="I128" s="55">
        <v>88548.4375</v>
      </c>
      <c r="J128" s="1"/>
      <c r="L128" s="111"/>
      <c r="M128" s="111"/>
    </row>
    <row r="129" spans="1:13" ht="24" x14ac:dyDescent="0.25">
      <c r="A129" s="115">
        <v>87</v>
      </c>
      <c r="B129" s="87" t="s">
        <v>935</v>
      </c>
      <c r="C129" s="85" t="str">
        <f>"MS LIC - SAVJET - 2016"</f>
        <v>MS LIC - SAVJET - 2016</v>
      </c>
      <c r="D129" s="86">
        <v>42695</v>
      </c>
      <c r="E129" s="86">
        <v>42916</v>
      </c>
      <c r="F129" s="84">
        <v>3983.46</v>
      </c>
      <c r="G129" s="84">
        <v>4979.33</v>
      </c>
      <c r="H129" s="86">
        <v>42916</v>
      </c>
      <c r="I129" s="55">
        <v>4979.3249999999998</v>
      </c>
      <c r="J129" s="1"/>
      <c r="L129" s="111"/>
      <c r="M129" s="111"/>
    </row>
    <row r="130" spans="1:13" ht="36" x14ac:dyDescent="0.25">
      <c r="A130" s="115">
        <v>88</v>
      </c>
      <c r="B130" s="87" t="s">
        <v>932</v>
      </c>
      <c r="C130" s="85" t="str">
        <f>"MS LIC - ULJPPNM - 2016"</f>
        <v>MS LIC - ULJPPNM - 2016</v>
      </c>
      <c r="D130" s="86">
        <v>42695</v>
      </c>
      <c r="E130" s="86">
        <v>42916</v>
      </c>
      <c r="F130" s="84">
        <v>17868.57</v>
      </c>
      <c r="G130" s="84">
        <v>22335.71</v>
      </c>
      <c r="H130" s="86">
        <v>42916</v>
      </c>
      <c r="I130" s="55">
        <v>22335.712500000001</v>
      </c>
      <c r="J130" s="1"/>
      <c r="L130" s="111"/>
      <c r="M130" s="111"/>
    </row>
    <row r="131" spans="1:13" ht="36" x14ac:dyDescent="0.25">
      <c r="A131" s="115">
        <v>89</v>
      </c>
      <c r="B131" s="87" t="s">
        <v>943</v>
      </c>
      <c r="C131" s="85" t="str">
        <f>"MS LIC - PROTOKOL - 2016"</f>
        <v>MS LIC - PROTOKOL - 2016</v>
      </c>
      <c r="D131" s="86">
        <v>42720</v>
      </c>
      <c r="E131" s="86">
        <v>42916</v>
      </c>
      <c r="F131" s="84">
        <v>5311.88</v>
      </c>
      <c r="G131" s="84">
        <v>6639.85</v>
      </c>
      <c r="H131" s="86">
        <v>42916</v>
      </c>
      <c r="I131" s="55">
        <v>6639.85</v>
      </c>
      <c r="J131" s="1"/>
      <c r="L131" s="111"/>
      <c r="M131" s="111"/>
    </row>
    <row r="132" spans="1:13" ht="24" x14ac:dyDescent="0.25">
      <c r="A132" s="115">
        <v>90</v>
      </c>
      <c r="B132" s="87" t="s">
        <v>937</v>
      </c>
      <c r="C132" s="85" t="str">
        <f>"MS LIC - MINE - 2016"</f>
        <v>MS LIC - MINE - 2016</v>
      </c>
      <c r="D132" s="86">
        <v>42720</v>
      </c>
      <c r="E132" s="86">
        <v>42916</v>
      </c>
      <c r="F132" s="84">
        <v>13278.2</v>
      </c>
      <c r="G132" s="84">
        <v>16597.75</v>
      </c>
      <c r="H132" s="86">
        <v>42916</v>
      </c>
      <c r="I132" s="55">
        <v>16597.75</v>
      </c>
      <c r="J132" s="1"/>
      <c r="L132" s="111"/>
      <c r="M132" s="111"/>
    </row>
    <row r="133" spans="1:13" ht="36" x14ac:dyDescent="0.25">
      <c r="A133" s="115">
        <v>91</v>
      </c>
      <c r="B133" s="87" t="s">
        <v>936</v>
      </c>
      <c r="C133" s="85" t="str">
        <f>"MS LIC - UDRUGE - 2016"</f>
        <v>MS LIC - UDRUGE - 2016</v>
      </c>
      <c r="D133" s="86">
        <v>42695</v>
      </c>
      <c r="E133" s="86">
        <v>42916</v>
      </c>
      <c r="F133" s="84">
        <v>60029.9</v>
      </c>
      <c r="G133" s="84">
        <v>75037.38</v>
      </c>
      <c r="H133" s="86">
        <v>42916</v>
      </c>
      <c r="I133" s="55">
        <v>75037.375</v>
      </c>
      <c r="J133" s="1"/>
      <c r="L133" s="111"/>
      <c r="M133" s="111"/>
    </row>
    <row r="134" spans="1:13" ht="36" x14ac:dyDescent="0.25">
      <c r="A134" s="115">
        <v>92</v>
      </c>
      <c r="B134" s="87" t="s">
        <v>938</v>
      </c>
      <c r="C134" s="85" t="str">
        <f>"MS LIC - RAVNOPRAVNOST - 2016"</f>
        <v>MS LIC - RAVNOPRAVNOST - 2016</v>
      </c>
      <c r="D134" s="86">
        <v>42711</v>
      </c>
      <c r="E134" s="86">
        <v>42916</v>
      </c>
      <c r="F134" s="84">
        <v>2221.38</v>
      </c>
      <c r="G134" s="84">
        <v>2776.73</v>
      </c>
      <c r="H134" s="86">
        <v>42916</v>
      </c>
      <c r="I134" s="55">
        <v>2776.7250000000004</v>
      </c>
      <c r="J134" s="1"/>
      <c r="L134" s="111"/>
      <c r="M134" s="111"/>
    </row>
    <row r="135" spans="1:13" ht="36" x14ac:dyDescent="0.25">
      <c r="A135" s="115">
        <v>93</v>
      </c>
      <c r="B135" s="87" t="s">
        <v>934</v>
      </c>
      <c r="C135" s="85" t="str">
        <f>"MS LIC - REVIZIJA - 2016"</f>
        <v>MS LIC - REVIZIJA - 2016</v>
      </c>
      <c r="D135" s="86">
        <v>42695</v>
      </c>
      <c r="E135" s="86">
        <v>42916</v>
      </c>
      <c r="F135" s="84">
        <v>15877.7</v>
      </c>
      <c r="G135" s="84">
        <v>19847.13</v>
      </c>
      <c r="H135" s="86">
        <v>42916</v>
      </c>
      <c r="I135" s="55">
        <v>19847.125</v>
      </c>
      <c r="J135" s="1"/>
      <c r="L135" s="111"/>
      <c r="M135" s="111"/>
    </row>
    <row r="136" spans="1:13" ht="36" x14ac:dyDescent="0.25">
      <c r="A136" s="115">
        <v>94</v>
      </c>
      <c r="B136" s="87" t="s">
        <v>942</v>
      </c>
      <c r="C136" s="85" t="str">
        <f>"MS LIC - ZAKONODAVSTVO - 2016"</f>
        <v>MS LIC - ZAKONODAVSTVO - 2016</v>
      </c>
      <c r="D136" s="86">
        <v>42695</v>
      </c>
      <c r="E136" s="86">
        <v>42916</v>
      </c>
      <c r="F136" s="84">
        <v>14549.88</v>
      </c>
      <c r="G136" s="84">
        <v>18187.349999999999</v>
      </c>
      <c r="H136" s="86">
        <v>42916</v>
      </c>
      <c r="I136" s="55">
        <v>18187.349999999999</v>
      </c>
      <c r="J136" s="1"/>
      <c r="L136" s="111"/>
      <c r="M136" s="111"/>
    </row>
    <row r="137" spans="1:13" ht="24" x14ac:dyDescent="0.25">
      <c r="A137" s="115">
        <v>95</v>
      </c>
      <c r="B137" s="87" t="s">
        <v>886</v>
      </c>
      <c r="C137" s="85" t="str">
        <f>"MS LIC - DROGE - 2016"</f>
        <v>MS LIC - DROGE - 2016</v>
      </c>
      <c r="D137" s="86">
        <v>42711</v>
      </c>
      <c r="E137" s="86">
        <v>42916</v>
      </c>
      <c r="F137" s="84">
        <v>5310.4</v>
      </c>
      <c r="G137" s="84">
        <v>6638</v>
      </c>
      <c r="H137" s="86">
        <v>42916</v>
      </c>
      <c r="I137" s="55">
        <v>6638</v>
      </c>
      <c r="J137" s="1"/>
      <c r="L137" s="111"/>
      <c r="M137" s="111"/>
    </row>
    <row r="138" spans="1:13" ht="36" x14ac:dyDescent="0.25">
      <c r="A138" s="115">
        <v>96</v>
      </c>
      <c r="B138" s="87" t="s">
        <v>900</v>
      </c>
      <c r="C138" s="85" t="str">
        <f>"MS LIC - ZASTUPNICA - 2016"</f>
        <v>MS LIC - ZASTUPNICA - 2016</v>
      </c>
      <c r="D138" s="86">
        <v>42723</v>
      </c>
      <c r="E138" s="86">
        <v>42916</v>
      </c>
      <c r="F138" s="84">
        <v>6637.9</v>
      </c>
      <c r="G138" s="84">
        <v>8297.3799999999992</v>
      </c>
      <c r="H138" s="86">
        <v>42916</v>
      </c>
      <c r="I138" s="55">
        <v>8297.375</v>
      </c>
      <c r="J138" s="1"/>
      <c r="L138" s="111"/>
      <c r="M138" s="111"/>
    </row>
    <row r="139" spans="1:13" ht="24" x14ac:dyDescent="0.25">
      <c r="A139" s="115">
        <v>97</v>
      </c>
      <c r="B139" s="87" t="s">
        <v>941</v>
      </c>
      <c r="C139" s="85" t="str">
        <f>"HZPR 1/2016"</f>
        <v>HZPR 1/2016</v>
      </c>
      <c r="D139" s="86">
        <v>42711</v>
      </c>
      <c r="E139" s="86">
        <v>42916</v>
      </c>
      <c r="F139" s="84">
        <v>10948.76</v>
      </c>
      <c r="G139" s="84">
        <v>13685.95</v>
      </c>
      <c r="H139" s="86">
        <v>42916</v>
      </c>
      <c r="I139" s="55">
        <v>13685.95</v>
      </c>
      <c r="J139" s="1"/>
      <c r="L139" s="111"/>
      <c r="M139" s="111"/>
    </row>
    <row r="140" spans="1:13" ht="36" x14ac:dyDescent="0.25">
      <c r="A140" s="115">
        <v>98</v>
      </c>
      <c r="B140" s="87" t="s">
        <v>189</v>
      </c>
      <c r="C140" s="85" t="str">
        <f>"03-A-SI-0464/16-21"</f>
        <v>03-A-SI-0464/16-21</v>
      </c>
      <c r="D140" s="86">
        <v>42713</v>
      </c>
      <c r="E140" s="86">
        <v>42916</v>
      </c>
      <c r="F140" s="84">
        <v>418737.8</v>
      </c>
      <c r="G140" s="84">
        <v>523422.25</v>
      </c>
      <c r="H140" s="86">
        <v>42916</v>
      </c>
      <c r="I140" s="55">
        <v>523932.94999999995</v>
      </c>
      <c r="J140" s="1"/>
      <c r="L140" s="111"/>
      <c r="M140" s="111"/>
    </row>
    <row r="141" spans="1:13" ht="24" x14ac:dyDescent="0.25">
      <c r="A141" s="115">
        <v>99</v>
      </c>
      <c r="B141" s="87" t="s">
        <v>203</v>
      </c>
      <c r="C141" s="85" t="str">
        <f>"U-11-MV/16"</f>
        <v>U-11-MV/16</v>
      </c>
      <c r="D141" s="86">
        <v>42691</v>
      </c>
      <c r="E141" s="86">
        <v>42916</v>
      </c>
      <c r="F141" s="84">
        <v>800296.87</v>
      </c>
      <c r="G141" s="84">
        <v>1000371.09</v>
      </c>
      <c r="H141" s="86">
        <v>42916</v>
      </c>
      <c r="I141" s="55">
        <v>1005214.6499999999</v>
      </c>
      <c r="J141" s="1"/>
      <c r="L141" s="111"/>
      <c r="M141" s="111"/>
    </row>
    <row r="142" spans="1:13" ht="36" x14ac:dyDescent="0.25">
      <c r="A142" s="115">
        <v>100</v>
      </c>
      <c r="B142" s="87" t="s">
        <v>97</v>
      </c>
      <c r="C142" s="85" t="str">
        <f>"030-01/16-01/19"</f>
        <v>030-01/16-01/19</v>
      </c>
      <c r="D142" s="86">
        <v>42697</v>
      </c>
      <c r="E142" s="86">
        <v>42916</v>
      </c>
      <c r="F142" s="84">
        <v>4407636.33</v>
      </c>
      <c r="G142" s="84">
        <v>5509545.4100000001</v>
      </c>
      <c r="H142" s="86">
        <v>42916</v>
      </c>
      <c r="I142" s="55">
        <v>5509545.4124999996</v>
      </c>
      <c r="J142" s="1"/>
      <c r="L142" s="111"/>
      <c r="M142" s="111"/>
    </row>
    <row r="143" spans="1:13" ht="24" x14ac:dyDescent="0.25">
      <c r="A143" s="115">
        <v>101</v>
      </c>
      <c r="B143" s="87" t="s">
        <v>200</v>
      </c>
      <c r="C143" s="85" t="str">
        <f>"2016"</f>
        <v>2016</v>
      </c>
      <c r="D143" s="86">
        <v>42699</v>
      </c>
      <c r="E143" s="86">
        <v>42916</v>
      </c>
      <c r="F143" s="84">
        <v>488234.07</v>
      </c>
      <c r="G143" s="84">
        <v>610292.59</v>
      </c>
      <c r="H143" s="164"/>
      <c r="I143" s="168">
        <v>0</v>
      </c>
      <c r="J143" s="1"/>
      <c r="L143" s="111"/>
      <c r="M143" s="111"/>
    </row>
    <row r="144" spans="1:13" ht="24" x14ac:dyDescent="0.25">
      <c r="A144" s="115">
        <v>102</v>
      </c>
      <c r="B144" s="87" t="s">
        <v>670</v>
      </c>
      <c r="C144" s="85" t="str">
        <f>"P.P.U.-31-27-20/16"</f>
        <v>P.P.U.-31-27-20/16</v>
      </c>
      <c r="D144" s="86">
        <v>42695</v>
      </c>
      <c r="E144" s="86">
        <v>42916</v>
      </c>
      <c r="F144" s="84">
        <v>47026.98</v>
      </c>
      <c r="G144" s="84">
        <v>58783.73</v>
      </c>
      <c r="H144" s="86">
        <v>42916</v>
      </c>
      <c r="I144" s="55">
        <v>58783.725000000006</v>
      </c>
      <c r="J144" s="1"/>
      <c r="L144" s="111"/>
      <c r="M144" s="111"/>
    </row>
    <row r="145" spans="1:13" ht="36" x14ac:dyDescent="0.25">
      <c r="A145" s="115">
        <v>103</v>
      </c>
      <c r="B145" s="87" t="s">
        <v>638</v>
      </c>
      <c r="C145" s="85" t="str">
        <f>"APPRRR PRVI GOD UGOVOR"</f>
        <v>APPRRR PRVI GOD UGOVOR</v>
      </c>
      <c r="D145" s="86">
        <v>42731</v>
      </c>
      <c r="E145" s="86">
        <v>42916</v>
      </c>
      <c r="F145" s="84">
        <v>1293785.45</v>
      </c>
      <c r="G145" s="84">
        <v>1617231.81</v>
      </c>
      <c r="H145" s="86">
        <v>42916</v>
      </c>
      <c r="I145" s="55">
        <v>1617231.8125</v>
      </c>
      <c r="J145" s="1"/>
      <c r="L145" s="111"/>
      <c r="M145" s="111"/>
    </row>
    <row r="146" spans="1:13" ht="24" x14ac:dyDescent="0.25">
      <c r="A146" s="115">
        <v>104</v>
      </c>
      <c r="B146" s="87" t="s">
        <v>948</v>
      </c>
      <c r="C146" s="85" t="str">
        <f>"12.12.2016"</f>
        <v>12.12.2016</v>
      </c>
      <c r="D146" s="86">
        <v>42716</v>
      </c>
      <c r="E146" s="86">
        <v>42916</v>
      </c>
      <c r="F146" s="84">
        <v>286673.98</v>
      </c>
      <c r="G146" s="84">
        <v>358342.48</v>
      </c>
      <c r="H146" s="86">
        <v>42717</v>
      </c>
      <c r="I146" s="55">
        <v>358342.47499999998</v>
      </c>
      <c r="J146" s="1"/>
      <c r="L146" s="111"/>
      <c r="M146" s="111"/>
    </row>
    <row r="147" spans="1:13" ht="36" x14ac:dyDescent="0.25">
      <c r="A147" s="115">
        <v>105</v>
      </c>
      <c r="B147" s="87" t="s">
        <v>191</v>
      </c>
      <c r="C147" s="85" t="str">
        <f>"MFIN.KL:406-01/16-03/01UR-8"</f>
        <v>MFIN.KL:406-01/16-03/01UR-8</v>
      </c>
      <c r="D147" s="86">
        <v>42734</v>
      </c>
      <c r="E147" s="86">
        <v>42916</v>
      </c>
      <c r="F147" s="84">
        <v>948142.41</v>
      </c>
      <c r="G147" s="84">
        <v>1185178.01</v>
      </c>
      <c r="H147" s="86">
        <v>42916</v>
      </c>
      <c r="I147" s="55">
        <v>1185178.0125</v>
      </c>
      <c r="J147" s="1"/>
      <c r="L147" s="111"/>
      <c r="M147" s="111"/>
    </row>
    <row r="148" spans="1:13" ht="24" x14ac:dyDescent="0.25">
      <c r="A148" s="115">
        <v>106</v>
      </c>
      <c r="B148" s="87" t="s">
        <v>469</v>
      </c>
      <c r="C148" s="85" t="str">
        <f>"HZZO - MICR1"</f>
        <v>HZZO - MICR1</v>
      </c>
      <c r="D148" s="86">
        <v>42718</v>
      </c>
      <c r="E148" s="86">
        <v>42916</v>
      </c>
      <c r="F148" s="84">
        <v>2101478.36</v>
      </c>
      <c r="G148" s="84">
        <v>2626847.9500000002</v>
      </c>
      <c r="H148" s="86">
        <v>42719</v>
      </c>
      <c r="I148" s="55">
        <v>2626847.9499999997</v>
      </c>
      <c r="J148" s="1"/>
      <c r="L148" s="111"/>
      <c r="M148" s="111"/>
    </row>
    <row r="149" spans="1:13" ht="24" x14ac:dyDescent="0.25">
      <c r="A149" s="115">
        <v>107</v>
      </c>
      <c r="B149" s="87" t="s">
        <v>212</v>
      </c>
      <c r="C149" s="85" t="str">
        <f>"MT - 1.MICROSOFT"</f>
        <v>MT - 1.MICROSOFT</v>
      </c>
      <c r="D149" s="86">
        <v>42697</v>
      </c>
      <c r="E149" s="86">
        <v>42916</v>
      </c>
      <c r="F149" s="84">
        <v>162621.23000000001</v>
      </c>
      <c r="G149" s="84">
        <v>203276.54</v>
      </c>
      <c r="H149" s="86">
        <v>42916</v>
      </c>
      <c r="I149" s="55">
        <v>203276.53750000001</v>
      </c>
      <c r="J149" s="1"/>
      <c r="L149" s="111"/>
      <c r="M149" s="111"/>
    </row>
    <row r="150" spans="1:13" ht="36" x14ac:dyDescent="0.25">
      <c r="A150" s="115">
        <v>108</v>
      </c>
      <c r="B150" s="87" t="s">
        <v>949</v>
      </c>
      <c r="C150" s="85" t="str">
        <f>"NCVVO 1. MICROSOFT"</f>
        <v>NCVVO 1. MICROSOFT</v>
      </c>
      <c r="D150" s="86">
        <v>42697</v>
      </c>
      <c r="E150" s="86">
        <v>42916</v>
      </c>
      <c r="F150" s="84">
        <v>127717.07</v>
      </c>
      <c r="G150" s="84">
        <v>159646.34</v>
      </c>
      <c r="H150" s="86">
        <v>42916</v>
      </c>
      <c r="I150" s="55">
        <v>15896.3375</v>
      </c>
      <c r="J150" s="1"/>
      <c r="L150" s="111"/>
      <c r="M150" s="111"/>
    </row>
    <row r="151" spans="1:13" ht="24" x14ac:dyDescent="0.25">
      <c r="A151" s="115">
        <v>109</v>
      </c>
      <c r="B151" s="87" t="s">
        <v>939</v>
      </c>
      <c r="C151" s="85" t="str">
        <f>"SDUSJN 1.MICROSOFT"</f>
        <v>SDUSJN 1.MICROSOFT</v>
      </c>
      <c r="D151" s="86">
        <v>42699</v>
      </c>
      <c r="E151" s="86">
        <v>42916</v>
      </c>
      <c r="F151" s="84">
        <v>27735</v>
      </c>
      <c r="G151" s="84">
        <v>34668.75</v>
      </c>
      <c r="H151" s="86">
        <v>42700</v>
      </c>
      <c r="I151" s="55">
        <v>34668.75</v>
      </c>
      <c r="J151" s="1"/>
      <c r="L151" s="111"/>
      <c r="M151" s="111"/>
    </row>
    <row r="152" spans="1:13" ht="24" x14ac:dyDescent="0.25">
      <c r="A152" s="115">
        <v>110</v>
      </c>
      <c r="B152" s="87" t="s">
        <v>950</v>
      </c>
      <c r="C152" s="85" t="str">
        <f>"PR.RAV.SPOL - 1. MICORSOFT"</f>
        <v>PR.RAV.SPOL - 1. MICORSOFT</v>
      </c>
      <c r="D152" s="86">
        <v>42703</v>
      </c>
      <c r="E152" s="86">
        <v>42916</v>
      </c>
      <c r="F152" s="84">
        <v>14594.8</v>
      </c>
      <c r="G152" s="84">
        <v>18243.5</v>
      </c>
      <c r="H152" s="86">
        <v>42916</v>
      </c>
      <c r="I152" s="55">
        <v>18243.5</v>
      </c>
      <c r="J152" s="1"/>
      <c r="L152" s="111"/>
      <c r="M152" s="111"/>
    </row>
    <row r="153" spans="1:13" x14ac:dyDescent="0.25">
      <c r="A153" s="115">
        <v>111</v>
      </c>
      <c r="B153" s="87" t="s">
        <v>582</v>
      </c>
      <c r="C153" s="85" t="str">
        <f>"1/2016-SS"</f>
        <v>1/2016-SS</v>
      </c>
      <c r="D153" s="86">
        <v>42706</v>
      </c>
      <c r="E153" s="86">
        <v>42916</v>
      </c>
      <c r="F153" s="84">
        <v>170959.93</v>
      </c>
      <c r="G153" s="84">
        <v>213699.91</v>
      </c>
      <c r="H153" s="86">
        <v>42916</v>
      </c>
      <c r="I153" s="55">
        <v>213646.0625</v>
      </c>
      <c r="J153" s="1"/>
      <c r="L153" s="111"/>
      <c r="M153" s="111"/>
    </row>
    <row r="154" spans="1:13" ht="24" x14ac:dyDescent="0.25">
      <c r="A154" s="115">
        <v>112</v>
      </c>
      <c r="B154" s="87" t="s">
        <v>193</v>
      </c>
      <c r="C154" s="85" t="str">
        <f>"55-17-16-1"</f>
        <v>55-17-16-1</v>
      </c>
      <c r="D154" s="86">
        <v>42719</v>
      </c>
      <c r="E154" s="86">
        <v>42916</v>
      </c>
      <c r="F154" s="84">
        <v>108431.7</v>
      </c>
      <c r="G154" s="84">
        <v>135539.63</v>
      </c>
      <c r="H154" s="86">
        <v>42916</v>
      </c>
      <c r="I154" s="55">
        <v>1021470.725</v>
      </c>
      <c r="J154" s="1"/>
      <c r="L154" s="111"/>
      <c r="M154" s="111"/>
    </row>
    <row r="155" spans="1:13" x14ac:dyDescent="0.25">
      <c r="L155" s="111"/>
      <c r="M155" s="111"/>
    </row>
    <row r="156" spans="1:13" x14ac:dyDescent="0.25">
      <c r="B156" s="174" t="s">
        <v>2028</v>
      </c>
      <c r="C156" s="174"/>
      <c r="D156" s="174"/>
      <c r="E156" s="174"/>
      <c r="F156" s="174"/>
      <c r="G156" s="174"/>
      <c r="H156" s="174"/>
      <c r="I156" s="174"/>
      <c r="J156" s="174"/>
      <c r="L156" s="111"/>
      <c r="M156" s="111"/>
    </row>
    <row r="157" spans="1:13" x14ac:dyDescent="0.25">
      <c r="L157" s="111"/>
      <c r="M157" s="111"/>
    </row>
  </sheetData>
  <sheetProtection algorithmName="SHA-512" hashValue="/ecIWs56iSjshobgzB5IFIjuNA2XMTTbwe1TsugrVupF+uO5ARsyOS4NDQ6abBizgwnxF9SNLXQSRIb8cRHZpA==" saltValue="53POHWMZUmpentOVVF0PyQ==" spinCount="100000" sheet="1" objects="1" scenarios="1"/>
  <mergeCells count="19">
    <mergeCell ref="A6:J6"/>
    <mergeCell ref="A13:N13"/>
    <mergeCell ref="D14:E14"/>
    <mergeCell ref="A1:N1"/>
    <mergeCell ref="D2:E2"/>
    <mergeCell ref="D3:E3"/>
    <mergeCell ref="N3:N4"/>
    <mergeCell ref="A4:L4"/>
    <mergeCell ref="D15:E15"/>
    <mergeCell ref="N15:N16"/>
    <mergeCell ref="A16:L16"/>
    <mergeCell ref="A18:J18"/>
    <mergeCell ref="A36:N36"/>
    <mergeCell ref="B156:J156"/>
    <mergeCell ref="D37:E37"/>
    <mergeCell ref="D38:E38"/>
    <mergeCell ref="N38:N39"/>
    <mergeCell ref="A39:L39"/>
    <mergeCell ref="A41:J41"/>
  </mergeCells>
  <pageMargins left="0.23622047244094491" right="0.23622047244094491" top="0.98425196850393704" bottom="0.59055118110236227" header="0.31496062992125984" footer="0.31496062992125984"/>
  <pageSetup scale="69" fitToHeight="0" orientation="landscape" r:id="rId1"/>
  <headerFooter>
    <oddHeader>&amp;L&amp;G&amp;CRegistar okvirnih sporazuma i ugovora za 2016. godinu 
za predmete nabave iz nadležnosti Središnji državnog ureda za središnju javnu nabavu</oddHeader>
    <oddFooter>&amp;L&amp;D&amp;C &amp;A&amp;R&amp;P/&amp;N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15</vt:i4>
      </vt:variant>
      <vt:variant>
        <vt:lpstr>Imenovani rasponi</vt:lpstr>
      </vt:variant>
      <vt:variant>
        <vt:i4>7</vt:i4>
      </vt:variant>
    </vt:vector>
  </HeadingPairs>
  <TitlesOfParts>
    <vt:vector size="22" baseType="lpstr">
      <vt:lpstr>Uredski materijal</vt:lpstr>
      <vt:lpstr>Potrošni materijal</vt:lpstr>
      <vt:lpstr>Motorna vozila</vt:lpstr>
      <vt:lpstr>Gume za vozila</vt:lpstr>
      <vt:lpstr>Gorivo</vt:lpstr>
      <vt:lpstr>Opskrba elek. energijom</vt:lpstr>
      <vt:lpstr>Opskrba prirodnim plinom</vt:lpstr>
      <vt:lpstr>Računala i računalna oprema</vt:lpstr>
      <vt:lpstr>Licence</vt:lpstr>
      <vt:lpstr>Usluge u pokretnoj mreži i opr.</vt:lpstr>
      <vt:lpstr>Usluge ispisa</vt:lpstr>
      <vt:lpstr>Poštanske usluge</vt:lpstr>
      <vt:lpstr>Usluge osiguranja</vt:lpstr>
      <vt:lpstr>Zaštitarske usluge</vt:lpstr>
      <vt:lpstr>Usluge čišćenja prostorija</vt:lpstr>
      <vt:lpstr>Gorivo!Ispis_naslova</vt:lpstr>
      <vt:lpstr>'Gume za vozila'!Ispis_naslova</vt:lpstr>
      <vt:lpstr>'Poštanske usluge'!Ispis_naslova</vt:lpstr>
      <vt:lpstr>'Računala i računalna oprema'!Ispis_naslova</vt:lpstr>
      <vt:lpstr>'Uredski materijal'!Ispis_naslova</vt:lpstr>
      <vt:lpstr>'Usluge ispisa'!Ispis_naslova</vt:lpstr>
      <vt:lpstr>'Usluge u pokretnoj mreži i opr.'!Ispis_naslova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Žužić</dc:creator>
  <cp:lastModifiedBy>Nikolina Žužić</cp:lastModifiedBy>
  <cp:lastPrinted>2018-02-07T11:56:05Z</cp:lastPrinted>
  <dcterms:created xsi:type="dcterms:W3CDTF">2016-04-14T07:27:39Z</dcterms:created>
  <dcterms:modified xsi:type="dcterms:W3CDTF">2018-02-08T08:59:23Z</dcterms:modified>
</cp:coreProperties>
</file>